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0" windowWidth="12510" windowHeight="8085" tabRatio="819" activeTab="0"/>
  </bookViews>
  <sheets>
    <sheet name="Instruction" sheetId="1" r:id="rId1"/>
    <sheet name="Parameters" sheetId="2" r:id="rId2"/>
    <sheet name="Tariff" sheetId="3" r:id="rId3"/>
    <sheet name="Capital Cost " sheetId="4" r:id="rId4"/>
    <sheet name="Saving" sheetId="5" r:id="rId5"/>
    <sheet name="Oper Exp" sheetId="6" r:id="rId6"/>
    <sheet name="P&amp;L" sheetId="7" r:id="rId7"/>
    <sheet name="Balance Sheet" sheetId="8" r:id="rId8"/>
    <sheet name="Cash Flow" sheetId="9" r:id="rId9"/>
    <sheet name="Work Cap" sheetId="10" r:id="rId10"/>
    <sheet name="Tax cal" sheetId="11" r:id="rId11"/>
    <sheet name="Depr as per IT" sheetId="12" r:id="rId12"/>
    <sheet name="Depr as per Company" sheetId="13" r:id="rId13"/>
    <sheet name="Interest" sheetId="14" r:id="rId14"/>
    <sheet name="Sensitivity" sheetId="15" r:id="rId15"/>
    <sheet name="DSCR" sheetId="16" r:id="rId16"/>
    <sheet name="IRR" sheetId="17" r:id="rId17"/>
    <sheet name="WACC" sheetId="18" r:id="rId18"/>
    <sheet name="NPV" sheetId="19" r:id="rId19"/>
    <sheet name="Simple Payback" sheetId="20" r:id="rId20"/>
    <sheet name="Economic Analysi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g">#REF!</definedName>
    <definedName name="\s">#REF!</definedName>
    <definedName name="_Key1" hidden="1">#REF!</definedName>
    <definedName name="_Order1" hidden="1">255</definedName>
    <definedName name="_Regression_X" hidden="1">#REF!</definedName>
    <definedName name="_Sort" hidden="1">#REF!</definedName>
    <definedName name="_xlfn.IFERROR" hidden="1">#NAME?</definedName>
    <definedName name="Area">'[3]Assumptions'!$B$20</definedName>
    <definedName name="AREA1">#REF!</definedName>
    <definedName name="C_\RAJITA\_MONTH_AC.xls_TOTAL_PL">#REF!</definedName>
    <definedName name="CA">#REF!</definedName>
    <definedName name="CFSEPT.99" hidden="1">{#N/A,#N/A,TRUE,"SCH99";#N/A,#N/A,TRUE,"BS99";"Groupings",#N/A,TRUE,"GROUP_99 ";"Groupings-Comparitive",#N/A,TRUE,"GROUP_99 ";#N/A,#N/A,TRUE,"SCH98_E";#N/A,#N/A,TRUE,"ASSET_99 "}</definedName>
    <definedName name="CL">#REF!</definedName>
    <definedName name="fac1">#REF!</definedName>
    <definedName name="fac2">#REF!</definedName>
    <definedName name="FAC3">#REF!</definedName>
    <definedName name="FAC4">#REF!</definedName>
    <definedName name="fin01">#REF!</definedName>
    <definedName name="Fin02">#REF!</definedName>
    <definedName name="fin03">#REF!</definedName>
    <definedName name="fin04">#REF!</definedName>
    <definedName name="Fincash">#REF!,#REF!,#REF!,#REF!,#REF!</definedName>
    <definedName name="INC">#REF!</definedName>
    <definedName name="INVST">#REF!</definedName>
    <definedName name="ME">#REF!</definedName>
    <definedName name="OI">#REF!</definedName>
    <definedName name="PL">#REF!</definedName>
    <definedName name="_xlnm.Print_Area" localSheetId="12">'Depr as per Company'!$A$1:$AD$18</definedName>
    <definedName name="_xlnm.Print_Area" localSheetId="13">'Interest'!$A$1:$K$136</definedName>
    <definedName name="_xlnm.Print_Area" localSheetId="18">'NPV'!$B$2:$M$27</definedName>
    <definedName name="_xlnm.Print_Area" localSheetId="6">'P&amp;L'!$A$1:$L$33</definedName>
    <definedName name="_xlnm.Print_Area" localSheetId="1">'Parameters'!$B$1:$F$101</definedName>
    <definedName name="_xlnm.Print_Area" localSheetId="4">'Saving'!$A$1:$M$75</definedName>
    <definedName name="_xlnm.Print_Area" localSheetId="9">'Work Cap'!$A$1:$N$19</definedName>
    <definedName name="_xlnm.Print_Titles" localSheetId="12">'Depr as per Company'!$1:$4</definedName>
    <definedName name="_xlnm.Print_Titles" localSheetId="13">'Interest'!$1:$15</definedName>
    <definedName name="_xlnm.Print_Titles" localSheetId="1">'Parameters'!$1:$2</definedName>
    <definedName name="Profitability">#REF!</definedName>
    <definedName name="quarters">#REF!</definedName>
    <definedName name="RES">#REF!</definedName>
    <definedName name="SC">#REF!</definedName>
    <definedName name="SCHF">'[9]SCH99'!#REF!</definedName>
    <definedName name="SCHF1">#REF!</definedName>
    <definedName name="SL">#REF!</definedName>
    <definedName name="Tariff">'Tariff'!#REF!</definedName>
    <definedName name="UL">#REF!</definedName>
    <definedName name="WDVKanhe">'[9]ASSET_99 '!$K$11,'[9]ASSET_99 '!$K$17,'[9]ASSET_99 '!$K$23,'[9]ASSET_99 '!$K$35,'[9]ASSET_99 '!$K$42,'[9]ASSET_99 '!$K$48,'[9]ASSET_99 '!$K$58</definedName>
    <definedName name="wrn.Accounts." hidden="1">{#N/A,#N/A,TRUE,"SCH99";#N/A,#N/A,TRUE,"BS99";"Groupings",#N/A,TRUE,"GROUP_99 ";"Groupings-Comparitive",#N/A,TRUE,"GROUP_99 ";#N/A,#N/A,TRUE,"SCH98_E";#N/A,#N/A,TRUE,"ASSET_99 "}</definedName>
    <definedName name="wrn.Groupings." hidden="1">{"Groupings",#N/A,TRUE,"GROUP_99 ";"Groupings-Comparitive",#N/A,TRUE,"GROUP_99 "}</definedName>
    <definedName name="wrn.Steel._.Division." hidden="1">{"Steel",#N/A,TRUE,"MUSCO"}</definedName>
  </definedNames>
  <calcPr calcMode="autoNoTable" fullCalcOnLoad="1"/>
</workbook>
</file>

<file path=xl/comments2.xml><?xml version="1.0" encoding="utf-8"?>
<comments xmlns="http://schemas.openxmlformats.org/spreadsheetml/2006/main">
  <authors>
    <author>sunita-awadh</author>
  </authors>
  <commentList>
    <comment ref="C22" authorId="0">
      <text>
        <r>
          <rPr>
            <b/>
            <sz val="8"/>
            <rFont val="Tahoma"/>
            <family val="2"/>
          </rPr>
          <t>sunita-awadh:</t>
        </r>
        <r>
          <rPr>
            <sz val="8"/>
            <rFont val="Tahoma"/>
            <family val="2"/>
          </rPr>
          <t xml:space="preserve">
SBI prevailing PLR rate </t>
        </r>
      </text>
    </comment>
  </commentList>
</comments>
</file>

<file path=xl/sharedStrings.xml><?xml version="1.0" encoding="utf-8"?>
<sst xmlns="http://schemas.openxmlformats.org/spreadsheetml/2006/main" count="640" uniqueCount="454">
  <si>
    <t>Name of the Company</t>
  </si>
  <si>
    <t>Type of Power Project</t>
  </si>
  <si>
    <t>Equity Contribution (%)</t>
  </si>
  <si>
    <t>Debt Funding (%)</t>
  </si>
  <si>
    <t>Number of Hours in a day</t>
  </si>
  <si>
    <t>Operations &amp; Maintenance Cost</t>
  </si>
  <si>
    <t>Annual Increase</t>
  </si>
  <si>
    <t>Insurance Cost</t>
  </si>
  <si>
    <t>PROJECT COST</t>
  </si>
  <si>
    <t>Amount In</t>
  </si>
  <si>
    <t>SL NO.</t>
  </si>
  <si>
    <t>PARTICULARS</t>
  </si>
  <si>
    <t>AMOUNT</t>
  </si>
  <si>
    <t>Land</t>
  </si>
  <si>
    <t>Building</t>
  </si>
  <si>
    <t>TOTAL PROJECT COST</t>
  </si>
  <si>
    <t>MEANS OF FINANCE</t>
  </si>
  <si>
    <t>A</t>
  </si>
  <si>
    <t>Promoters' Contribution</t>
  </si>
  <si>
    <t>B</t>
  </si>
  <si>
    <t>Term Loan from Banks</t>
  </si>
  <si>
    <t>POWER GENERATION</t>
  </si>
  <si>
    <t>PROFIT AND LOSS ACCOUNT</t>
  </si>
  <si>
    <t>Amt in</t>
  </si>
  <si>
    <t>Incomes</t>
  </si>
  <si>
    <t>Total Income</t>
  </si>
  <si>
    <t>Expenditure</t>
  </si>
  <si>
    <t>Operating &amp; Maintenance Cost</t>
  </si>
  <si>
    <t>Personnel Cost</t>
  </si>
  <si>
    <t>Total Expenditure</t>
  </si>
  <si>
    <t>C</t>
  </si>
  <si>
    <t>PBDIT</t>
  </si>
  <si>
    <t>Depreciation</t>
  </si>
  <si>
    <t>D</t>
  </si>
  <si>
    <t>PBIT</t>
  </si>
  <si>
    <t>Interest</t>
  </si>
  <si>
    <t>E</t>
  </si>
  <si>
    <t>Profit Before Taxation</t>
  </si>
  <si>
    <t>F</t>
  </si>
  <si>
    <t>Profit After Taxation</t>
  </si>
  <si>
    <t>DEPRECIATION SCHEDULE</t>
  </si>
  <si>
    <t>Sl No.</t>
  </si>
  <si>
    <t>Particulars</t>
  </si>
  <si>
    <t>Additions</t>
  </si>
  <si>
    <t>TOTAL</t>
  </si>
  <si>
    <t>INTEREST AND PRINCIPAL REPAYMENT SCHEDULE</t>
  </si>
  <si>
    <t>Loan Amount</t>
  </si>
  <si>
    <t>Rate of Interest</t>
  </si>
  <si>
    <t>p.a.</t>
  </si>
  <si>
    <t>Tenure of Loan</t>
  </si>
  <si>
    <t>Moratorium</t>
  </si>
  <si>
    <t>Repayment</t>
  </si>
  <si>
    <t>FY Ended</t>
  </si>
  <si>
    <t>SENSITIVITY ANALYSIS</t>
  </si>
  <si>
    <t>Indicative</t>
  </si>
  <si>
    <t>Parameter</t>
  </si>
  <si>
    <t>Sales Tariff</t>
  </si>
  <si>
    <t>GROSS DSCR CALCULATION</t>
  </si>
  <si>
    <t>SL NO</t>
  </si>
  <si>
    <t>Subtotal</t>
  </si>
  <si>
    <t>Repayment of Term Loan</t>
  </si>
  <si>
    <t>GROSS DSCR</t>
  </si>
  <si>
    <t>AVERAGE DSCR</t>
  </si>
  <si>
    <t>NET DSCR CALCULATION</t>
  </si>
  <si>
    <t>NET DSCR</t>
  </si>
  <si>
    <t>Investment</t>
  </si>
  <si>
    <t>IRR Calculation with Interest</t>
  </si>
  <si>
    <t>Key Results</t>
  </si>
  <si>
    <t>Net Sales</t>
  </si>
  <si>
    <t>Profit After Taxes</t>
  </si>
  <si>
    <t>Profit Before Taxes</t>
  </si>
  <si>
    <t>Gross DSCR</t>
  </si>
  <si>
    <t>Net DSCR</t>
  </si>
  <si>
    <t>Balance</t>
  </si>
  <si>
    <t>Total</t>
  </si>
  <si>
    <t>Closing</t>
  </si>
  <si>
    <t>Opening</t>
  </si>
  <si>
    <t>Principal</t>
  </si>
  <si>
    <t>Annual</t>
  </si>
  <si>
    <t>Project IRR</t>
  </si>
  <si>
    <t>(Percentage of Total Project Cost)</t>
  </si>
  <si>
    <t xml:space="preserve">                                                   Y3+</t>
  </si>
  <si>
    <t xml:space="preserve">                                                   Y2</t>
  </si>
  <si>
    <t>CASH FLOW STATEMENT</t>
  </si>
  <si>
    <t>SOURCES OF FUNDS</t>
  </si>
  <si>
    <t>Add: Depreciation</t>
  </si>
  <si>
    <t>Equity Share Capital</t>
  </si>
  <si>
    <t>Increase in Bank Borrowings</t>
  </si>
  <si>
    <t>Total Sources</t>
  </si>
  <si>
    <t>APPLICATION OF FUNDS</t>
  </si>
  <si>
    <t>Capital Expenditure</t>
  </si>
  <si>
    <t>Total Application</t>
  </si>
  <si>
    <t>NET SURPLUS</t>
  </si>
  <si>
    <t>Opening CASH Balance</t>
  </si>
  <si>
    <t>Closing CASH Balance</t>
  </si>
  <si>
    <t>Plant &amp; Machinery</t>
  </si>
  <si>
    <t>Sl. No.</t>
  </si>
  <si>
    <t>Contingencies</t>
  </si>
  <si>
    <t>Equipments</t>
  </si>
  <si>
    <t>Preliminary &amp; Preoperative Exp</t>
  </si>
  <si>
    <t>Interest During Construction</t>
  </si>
  <si>
    <t>Lacs</t>
  </si>
  <si>
    <t>Interest on Working Capital</t>
  </si>
  <si>
    <t>Interest on Term Loan</t>
  </si>
  <si>
    <t>WORKING CAPITAL ASSESSMENT</t>
  </si>
  <si>
    <t>Time Lag</t>
  </si>
  <si>
    <t>Administrative Cost</t>
  </si>
  <si>
    <t>Working Capital Gap</t>
  </si>
  <si>
    <t>OPERATIONAL EXPENSES</t>
  </si>
  <si>
    <t>PERSONNEL COSTS</t>
  </si>
  <si>
    <t># of Workers</t>
  </si>
  <si>
    <t>Total Personnel Costs</t>
  </si>
  <si>
    <t>Monthly Remun</t>
  </si>
  <si>
    <t>General Manager</t>
  </si>
  <si>
    <t>Accounts Officer</t>
  </si>
  <si>
    <t>ADMINISTRATIVE EXPENSES</t>
  </si>
  <si>
    <t>ADMINISTRATIVE COSTS</t>
  </si>
  <si>
    <t>Printing &amp; Stationery</t>
  </si>
  <si>
    <t>Postage &amp; Telephone</t>
  </si>
  <si>
    <t>Travelling &amp; Conveyance</t>
  </si>
  <si>
    <t>Legal &amp; Other Professional Charges</t>
  </si>
  <si>
    <t>Rents, Rates &amp; Taxes</t>
  </si>
  <si>
    <t>Miscellaneous Expenses</t>
  </si>
  <si>
    <t>Annual Expense</t>
  </si>
  <si>
    <t>Ann Increase</t>
  </si>
  <si>
    <t>Legal &amp; Other Professional Chrgs</t>
  </si>
  <si>
    <t>Total Administrative Expenses</t>
  </si>
  <si>
    <t>Amount in</t>
  </si>
  <si>
    <t>All Amounts in</t>
  </si>
  <si>
    <t>All Denominations</t>
  </si>
  <si>
    <t>INR</t>
  </si>
  <si>
    <t>Units</t>
  </si>
  <si>
    <t>Annual Increase in tariff</t>
  </si>
  <si>
    <t>Total Current Liabilities</t>
  </si>
  <si>
    <t>Working Capital From Banks</t>
  </si>
  <si>
    <t>No. of Offices</t>
  </si>
  <si>
    <t>Corporate Tax Rate</t>
  </si>
  <si>
    <t>Currency Conversion (USD/ INR)</t>
  </si>
  <si>
    <t>USD</t>
  </si>
  <si>
    <t>Absolute</t>
  </si>
  <si>
    <t>Thousands</t>
  </si>
  <si>
    <t>Total Project Cost</t>
  </si>
  <si>
    <t>Number of Working Days in a year</t>
  </si>
  <si>
    <t>Rate of Interest on Debt/ Working Capital</t>
  </si>
  <si>
    <t>Working Capital Margins</t>
  </si>
  <si>
    <t>Time (mnths)</t>
  </si>
  <si>
    <t>Current Liabilities</t>
  </si>
  <si>
    <t>Crores</t>
  </si>
  <si>
    <t>Construction Period (months)</t>
  </si>
  <si>
    <t>Moratorium Period (months)</t>
  </si>
  <si>
    <t>Method of Depreciation</t>
  </si>
  <si>
    <t>SLM</t>
  </si>
  <si>
    <t>WDV</t>
  </si>
  <si>
    <t>Rates of Depreciation</t>
  </si>
  <si>
    <t>months</t>
  </si>
  <si>
    <t>Month</t>
  </si>
  <si>
    <t>TARIFF RATE &amp; STRUCTURE</t>
  </si>
  <si>
    <t>Applicable Tariff:</t>
  </si>
  <si>
    <t>Tariff</t>
  </si>
  <si>
    <t>FY Ending</t>
  </si>
  <si>
    <t>Y1</t>
  </si>
  <si>
    <t>Total Moratorium Period (months)</t>
  </si>
  <si>
    <t>Principal Repayment Period (months)</t>
  </si>
  <si>
    <t>Total Tenure of Loan (months)</t>
  </si>
  <si>
    <t>Total Period</t>
  </si>
  <si>
    <t>(After Commercial Production)</t>
  </si>
  <si>
    <t>(End-to-End from 1st drawdown to final repayment)</t>
  </si>
  <si>
    <r>
      <t xml:space="preserve">Load Factor for ops days                </t>
    </r>
    <r>
      <rPr>
        <sz val="5"/>
        <color indexed="62"/>
        <rFont val="Verdana"/>
        <family val="2"/>
      </rPr>
      <t xml:space="preserve"> </t>
    </r>
    <r>
      <rPr>
        <sz val="10"/>
        <color indexed="62"/>
        <rFont val="Verdana"/>
        <family val="2"/>
      </rPr>
      <t xml:space="preserve">  Y1</t>
    </r>
  </si>
  <si>
    <t>=PLF</t>
  </si>
  <si>
    <t>Load Factor</t>
  </si>
  <si>
    <t>Rate for Taxation (MAT)</t>
  </si>
  <si>
    <t>Plant Staff</t>
  </si>
  <si>
    <t>TOTAL CAPITAL COST</t>
  </si>
  <si>
    <t>*</t>
  </si>
  <si>
    <t>Maintenance Manager</t>
  </si>
  <si>
    <t>Foreman</t>
  </si>
  <si>
    <t>Technicans/Instrumentation</t>
  </si>
  <si>
    <t>Helpers</t>
  </si>
  <si>
    <t>Company Secteary cum Finance manager</t>
  </si>
  <si>
    <t>Administrative &amp; Management Staff</t>
  </si>
  <si>
    <t>Applicable Tax</t>
  </si>
  <si>
    <t>Figures in lacs</t>
  </si>
  <si>
    <t>Sources Of Fund</t>
  </si>
  <si>
    <t>Shareholder's Fund</t>
  </si>
  <si>
    <t>Share Capital</t>
  </si>
  <si>
    <t>Internal Cash Generation</t>
  </si>
  <si>
    <t>Share Premium</t>
  </si>
  <si>
    <t>Profit and Loss</t>
  </si>
  <si>
    <t>Total Shareholders Fund</t>
  </si>
  <si>
    <t>% of Capital Employed</t>
  </si>
  <si>
    <t>Borrowed Fund</t>
  </si>
  <si>
    <t>Term Loan</t>
  </si>
  <si>
    <t>Total Borrowed Fund</t>
  </si>
  <si>
    <t>Total Capital Employed</t>
  </si>
  <si>
    <t>Application of Fund</t>
  </si>
  <si>
    <t>Fixed Asset</t>
  </si>
  <si>
    <t>Gross Block</t>
  </si>
  <si>
    <t>Less: Accumulated Depreciation</t>
  </si>
  <si>
    <t>Net Block</t>
  </si>
  <si>
    <t>Cash Balance( As Per cash flow)</t>
  </si>
  <si>
    <t xml:space="preserve">Depreciation As per Income Tax </t>
  </si>
  <si>
    <t>Overall Fixed Assets</t>
  </si>
  <si>
    <t xml:space="preserve">Written Down Value Method Rate </t>
  </si>
  <si>
    <t>Opening Balance</t>
  </si>
  <si>
    <t>Cumulative Depreciation</t>
  </si>
  <si>
    <t>Closing balance</t>
  </si>
  <si>
    <t>Tax calculation</t>
  </si>
  <si>
    <t xml:space="preserve">Depreciation as per IT </t>
  </si>
  <si>
    <t>PBT</t>
  </si>
  <si>
    <t>Cumulative</t>
  </si>
  <si>
    <t>Set off</t>
  </si>
  <si>
    <t>Tax as per IT</t>
  </si>
  <si>
    <t>Cumulative tax IT</t>
  </si>
  <si>
    <t>MAT</t>
  </si>
  <si>
    <t>MAT credit</t>
  </si>
  <si>
    <t>Tax</t>
  </si>
  <si>
    <t>WC requiremnt</t>
  </si>
  <si>
    <t>Increase in WC</t>
  </si>
  <si>
    <t>Annexure-5</t>
  </si>
  <si>
    <t>Annexure -2</t>
  </si>
  <si>
    <t>PROJECT FINANCIAL MODEL</t>
  </si>
  <si>
    <t>Saving</t>
  </si>
  <si>
    <t>Amounts in Lakhs</t>
  </si>
  <si>
    <t>NPV Calculation</t>
  </si>
  <si>
    <t>NPV Callculation with Discount Rate</t>
  </si>
  <si>
    <t>PBDI (Total)</t>
  </si>
  <si>
    <t>NPV</t>
  </si>
  <si>
    <t>Amount in Lakhs</t>
  </si>
  <si>
    <t>Simple Payback Calculation</t>
  </si>
  <si>
    <t>PAT</t>
  </si>
  <si>
    <t>Project Cost</t>
  </si>
  <si>
    <t>Revenue (PAT+Depreciation)</t>
  </si>
  <si>
    <t xml:space="preserve">Power saved through Energy Efficiency </t>
  </si>
  <si>
    <t>Reduction in Energy Efficiency</t>
  </si>
  <si>
    <t>Per year</t>
  </si>
  <si>
    <t xml:space="preserve">Energy  Saving </t>
  </si>
  <si>
    <t xml:space="preserve">Tarriff </t>
  </si>
  <si>
    <t>'000 KWH/KG/LTR</t>
  </si>
  <si>
    <t xml:space="preserve">Net Energy Saving </t>
  </si>
  <si>
    <t>INR /KWH/KG/LTR</t>
  </si>
  <si>
    <t>Total Savings Realization</t>
  </si>
  <si>
    <t xml:space="preserve">Cost of Material </t>
  </si>
  <si>
    <t>INR Lacs</t>
  </si>
  <si>
    <t>tCO2</t>
  </si>
  <si>
    <t>Total Project Benefit</t>
  </si>
  <si>
    <t>Additional Saving considering (AT&amp;C)</t>
  </si>
  <si>
    <t>Emission Reduction+</t>
  </si>
  <si>
    <t>+ Average Grid Emission Factor 0.825 tCO2/Mwh</t>
  </si>
  <si>
    <t>Project Benefits</t>
  </si>
  <si>
    <t xml:space="preserve">Monetary Saving considering AT&amp;C </t>
  </si>
  <si>
    <t>EIRR</t>
  </si>
  <si>
    <t>Sr. No.</t>
  </si>
  <si>
    <t>Months</t>
  </si>
  <si>
    <t>Darashaw &amp; Co.</t>
  </si>
  <si>
    <t>Any other</t>
  </si>
  <si>
    <t>NPV Discounting rate</t>
  </si>
  <si>
    <t xml:space="preserve">'000 </t>
  </si>
  <si>
    <t>Units (KWH/KG/LTR)</t>
  </si>
  <si>
    <t>'000</t>
  </si>
  <si>
    <t>INR `</t>
  </si>
  <si>
    <t xml:space="preserve"> </t>
  </si>
  <si>
    <t>CALCULATION OF WEIGHTED AVERAGE COST OF CAPITAL</t>
  </si>
  <si>
    <t>Cost of Equity</t>
  </si>
  <si>
    <t>Risk Free Return</t>
  </si>
  <si>
    <t>Beta</t>
  </si>
  <si>
    <t>Equity Risk Premium</t>
  </si>
  <si>
    <t>Cost of Debt</t>
  </si>
  <si>
    <t>Interest Rate</t>
  </si>
  <si>
    <t>Debt - Equity</t>
  </si>
  <si>
    <t>Debt</t>
  </si>
  <si>
    <t>Equity</t>
  </si>
  <si>
    <t>WACC</t>
  </si>
  <si>
    <t>NPV based on calculation of WACC</t>
  </si>
  <si>
    <t>(Post tax Calculation)</t>
  </si>
  <si>
    <t>Risk Free Rate of Return</t>
  </si>
  <si>
    <t>(10 years Government of India Securities)</t>
  </si>
  <si>
    <t>Expected Return on Market Index</t>
  </si>
  <si>
    <t>20year average of BSE Sensex annual return</t>
  </si>
  <si>
    <t>Others (Specify)</t>
  </si>
  <si>
    <t xml:space="preserve">SLM Method Rate </t>
  </si>
  <si>
    <t>Total Depreciation As per Companies Act</t>
  </si>
  <si>
    <t>Net Balance</t>
  </si>
  <si>
    <t>Interest During Construction (IDC)</t>
  </si>
  <si>
    <t>Closing Balance</t>
  </si>
  <si>
    <t>Total IDC</t>
  </si>
  <si>
    <t>IDC Allocaton</t>
  </si>
  <si>
    <t>Total Amount</t>
  </si>
  <si>
    <t xml:space="preserve">Total </t>
  </si>
  <si>
    <t>IDC on Building</t>
  </si>
  <si>
    <t>IDC on Plant &amp; Machinery</t>
  </si>
  <si>
    <t>Building Plus Contingency</t>
  </si>
  <si>
    <t>Plant &amp; Machinery Plus Contingency</t>
  </si>
  <si>
    <t xml:space="preserve">Balance Sheet </t>
  </si>
  <si>
    <t>Construction Period (Years)</t>
  </si>
  <si>
    <t>Basic Tax Rate</t>
  </si>
  <si>
    <t>Surcharge</t>
  </si>
  <si>
    <t>Education cess/ Secondary &amp; Higher Education cess</t>
  </si>
  <si>
    <t xml:space="preserve">Minimum Alternate Tax </t>
  </si>
  <si>
    <t>Total Administrave Expenses</t>
  </si>
  <si>
    <t>Total Personnel Expenses</t>
  </si>
  <si>
    <t>Total Insurance Cost</t>
  </si>
  <si>
    <t>Total Operating &amp; Maintenance Cost</t>
  </si>
  <si>
    <t>Total Cost of Material</t>
  </si>
  <si>
    <t>Total Depreciation</t>
  </si>
  <si>
    <t>Depreciation as per Companies Act</t>
  </si>
  <si>
    <t xml:space="preserve">Long Term Loan Interest </t>
  </si>
  <si>
    <t xml:space="preserve">Total Long Term Loan Interest </t>
  </si>
  <si>
    <t xml:space="preserve">Environment Cost </t>
  </si>
  <si>
    <t>PAT+Dep+Int</t>
  </si>
  <si>
    <t xml:space="preserve">Project Cost </t>
  </si>
  <si>
    <t>Darashaw &amp; Co. Pvt. Ltd.</t>
  </si>
  <si>
    <t xml:space="preserve">GHG Emmission Reduction </t>
  </si>
  <si>
    <t>*Average AT&amp;C Losses of Country @30%</t>
  </si>
  <si>
    <t>Capacity (W)</t>
  </si>
  <si>
    <t>Consumption (000 KWH)</t>
  </si>
  <si>
    <t>Actual consumption after EE</t>
  </si>
  <si>
    <t>Energy Bill</t>
  </si>
  <si>
    <t>Economic Analysis</t>
  </si>
  <si>
    <t>Capital Cost</t>
  </si>
  <si>
    <t>Cash flow</t>
  </si>
  <si>
    <t>Total Project cost</t>
  </si>
  <si>
    <t>Monetary Saving Emission Reduction</t>
  </si>
  <si>
    <t>Energy bill</t>
  </si>
  <si>
    <t>Physical Contingencies</t>
  </si>
  <si>
    <t xml:space="preserve">Average Cost of Material </t>
  </si>
  <si>
    <t>(Average cost of Consumables during the year)</t>
  </si>
  <si>
    <t>INR Lakhs</t>
  </si>
  <si>
    <t xml:space="preserve">Sr. No. </t>
  </si>
  <si>
    <t xml:space="preserve">Equity Contribution % - Own fund infused by the promoters of the company </t>
  </si>
  <si>
    <t xml:space="preserve">Construction Period: Period or time for commencement/ Implementation of the project   </t>
  </si>
  <si>
    <t>Moratorium Period: A moratorium period is a time during the loan term when the borrower is not required to make any repayment. It is a waiting period before which repayment by way of EMIs begins</t>
  </si>
  <si>
    <t xml:space="preserve">Total Tenure of Loan: No. of years/ Months/ Days for which the loan has been taken from Financial Institution of Bank </t>
  </si>
  <si>
    <t xml:space="preserve">Principal Repayment Period: Period in which repayment would be spread for example loan will be repaid in 20 months </t>
  </si>
  <si>
    <t xml:space="preserve">Annual Increase in tariff: Assumption to project power rate for defined life of the project </t>
  </si>
  <si>
    <t xml:space="preserve">Number of Hours in a day: Total number of hours in a day when the project would run for eg. A street light would operate for 10 hrs in a day </t>
  </si>
  <si>
    <t xml:space="preserve">Operations &amp; Maintenance Cost: The cost incurred in operation and maintenance of the project </t>
  </si>
  <si>
    <t>Average Cost of Material: Cost of consumables for the project</t>
  </si>
  <si>
    <t>Administrative Cost: day to day cost for running the project like Printing &amp; Stationery, Postage &amp; Telephone, Travelling &amp; Conveyance, Legal &amp; Other Professional Charges etc.</t>
  </si>
  <si>
    <t>MAT Rate: its a tax that has to be paid by the companies that are enjoying tax benefits or tax exemption under various schemes</t>
  </si>
  <si>
    <t xml:space="preserve">Corporate Tax Rate:  considered as per income tax department of India </t>
  </si>
  <si>
    <t xml:space="preserve">Method of Depreciation: Method of charging depreciation on fixed assets value of the project </t>
  </si>
  <si>
    <t xml:space="preserve">NPV Discounting rate: it represents the time value of money </t>
  </si>
  <si>
    <t xml:space="preserve">Risk Free Rate of Return: The risk-free rate represents the interest an investor would expect from an absolutely risk-free investment over a specified period of time, here average 10 years Government of India Securities rate have been considered </t>
  </si>
  <si>
    <t>Beta: A measure of the volatility, or systematic risk, of a security or a portfolio in comparison to the market as a whole.</t>
  </si>
  <si>
    <t>Expected Return on Market Index: considered on 20 year average of BSE Sensex annual return</t>
  </si>
  <si>
    <t xml:space="preserve">Contingencies: amount kept aside as cash reserve to meet the contingencies in capital (assumed) </t>
  </si>
  <si>
    <t xml:space="preserve">Please insert Name of your company </t>
  </si>
  <si>
    <t>Load factor - Its a measure of the output of a project compared to the  maximum output it could produce.</t>
  </si>
  <si>
    <t>Instruction to Applicant</t>
  </si>
  <si>
    <t>No. of system</t>
  </si>
  <si>
    <t>Installed capacity of the proposed system</t>
  </si>
  <si>
    <t>Capital Cost sheet, insert the capital investment required for the project</t>
  </si>
  <si>
    <t>Year</t>
  </si>
  <si>
    <t xml:space="preserve">Max 10 years </t>
  </si>
  <si>
    <t>Total Energy Saving</t>
  </si>
  <si>
    <t>Energy shared with Facility owner</t>
  </si>
  <si>
    <t>Energy saving share of ESCO</t>
  </si>
  <si>
    <t>Concession Period</t>
  </si>
  <si>
    <t>Conversion Factor of Manpower cost for Economic Analysis</t>
  </si>
  <si>
    <t>Energy Saving shared with Facility owner</t>
  </si>
  <si>
    <t xml:space="preserve">Net Energy Saving after reduction in Energy Efficiency </t>
  </si>
  <si>
    <t xml:space="preserve">Energy Saving of ESCO </t>
  </si>
  <si>
    <t xml:space="preserve">Depreciation As per Companies Act </t>
  </si>
  <si>
    <t xml:space="preserve">Personnel Cost </t>
  </si>
  <si>
    <t>O&amp;M cost (excluding personnel cost)</t>
  </si>
  <si>
    <t xml:space="preserve">Rate of Interest on Debt/ Working Capital: Rate at which the project company has availed loan from Financial Institution or Bank for this project </t>
  </si>
  <si>
    <t xml:space="preserve">Please insert type of project: New Project, Expansion of project, Diversification, modernisation of project. Please specify the name of project also for eg. Street Light or replacement of incandescent lamp with T5 tube light   </t>
  </si>
  <si>
    <t xml:space="preserve">Insurance Cost: Cost incurred to insure the project which may affect the operations of the project </t>
  </si>
  <si>
    <t>Working capital Assessment: capital used in day-to-day operations of a business/ project. Cost of Material, Operating and maintenance cost, insurance cost, personal cost, administrative cost are required to run the project</t>
  </si>
  <si>
    <t xml:space="preserve">Environment Cost: Assumed as 1% of total project cost. It is the cost to environment for eg. the cost born for disposing off incandescent bulb after replacement with energy efficient lights </t>
  </si>
  <si>
    <t>Installed capacity of the project in kW</t>
  </si>
  <si>
    <t>Total Project Cost: Project Cost includes cost of Fixed assets such as Plant &amp; Machinery, Land, building etc., any contingency expense, Interest during construction, Preliminary &amp; Preoperative exp. incurred during the installation of the project</t>
  </si>
  <si>
    <t>Debt Funding %: Debt/ Loan taken from bank or financial institution for this particular project</t>
  </si>
  <si>
    <t>Power saved through Energy Efficiency: Number of units saved (kWh) through Energy Efficiency</t>
  </si>
  <si>
    <t xml:space="preserve">Reduction in Energy Efficiency: factor considered year on year to reduce the savings through Energy Efficiency </t>
  </si>
  <si>
    <t xml:space="preserve">Tariff for Power: Per unit rate of power for the particular category for eg. Domestic, Commercial, Industrial, Street Light determined by State Electricity Regulatory Commission (SERC) </t>
  </si>
  <si>
    <t>Number of Working Days of project in a year: eg. A street light would operate for 365 Days in a year</t>
  </si>
  <si>
    <t>Personal Cost: Includes manpower cost at various level to run the project for eg. Salary cost of Plant Manager, Maintenance Manager, Shift Supervisor, Foreman, Technicians/ Instrumentation, Helpers, Administrative &amp; Management Staff, General Manager etc.</t>
  </si>
  <si>
    <t>Total Number of systems to be installed</t>
  </si>
  <si>
    <t>Tariff for Power (Rs./ Unit)</t>
  </si>
  <si>
    <t xml:space="preserve">Type of lighting to be replaced </t>
  </si>
  <si>
    <t>Rs</t>
  </si>
  <si>
    <t xml:space="preserve">Unit </t>
  </si>
  <si>
    <t xml:space="preserve">Value </t>
  </si>
  <si>
    <t>No.</t>
  </si>
  <si>
    <t>W</t>
  </si>
  <si>
    <t>Total Value</t>
  </si>
  <si>
    <t xml:space="preserve">Cost segregation of Labour and other cost </t>
  </si>
  <si>
    <t xml:space="preserve">labour cost </t>
  </si>
  <si>
    <t xml:space="preserve">other cost </t>
  </si>
  <si>
    <t xml:space="preserve">Rs. Lakh </t>
  </si>
  <si>
    <t xml:space="preserve">Particulars </t>
  </si>
  <si>
    <t>Installed Capacity (kW)</t>
  </si>
  <si>
    <t>000 kWh</t>
  </si>
  <si>
    <t>Description</t>
  </si>
  <si>
    <t>Annual Energy Saving Potential in Units</t>
  </si>
  <si>
    <t>Annual financial saving in Rs.</t>
  </si>
  <si>
    <t>Investment cost in Rs.</t>
  </si>
  <si>
    <t>Simply Payback period in years</t>
  </si>
  <si>
    <t>Replace all single 40W FTL with 16 W LED tube light.</t>
  </si>
  <si>
    <t>Replace all single 40W Bulb with 16 W LED tube light.</t>
  </si>
  <si>
    <t>Replace all single 350 W Socium Vapour Lamp with 140 W LED tube light.</t>
  </si>
  <si>
    <t>Replace all single 20W CFL with 8 W LED  light.</t>
  </si>
  <si>
    <t>Labour, Installation and Other Miscellenous charges</t>
  </si>
  <si>
    <t>GSM based Online Monitoring System</t>
  </si>
  <si>
    <t>5-7%</t>
  </si>
  <si>
    <t>S.no.</t>
  </si>
  <si>
    <t>Type of Street Light/ Fixtures</t>
  </si>
  <si>
    <t>Numbers</t>
  </si>
  <si>
    <t>Percentage</t>
  </si>
  <si>
    <t xml:space="preserve">40 W Bulb </t>
  </si>
  <si>
    <t>40 W FTL</t>
  </si>
  <si>
    <t>20 W CFL</t>
  </si>
  <si>
    <t>350 W Sodium Vapour</t>
  </si>
  <si>
    <t>20 W LED</t>
  </si>
  <si>
    <t xml:space="preserve">lab cost </t>
  </si>
  <si>
    <t xml:space="preserve">Scada </t>
  </si>
  <si>
    <t xml:space="preserve">SBI rate </t>
  </si>
  <si>
    <t xml:space="preserve">cost per light </t>
  </si>
  <si>
    <t xml:space="preserve">capacity </t>
  </si>
  <si>
    <t xml:space="preserve">Toatl cost </t>
  </si>
  <si>
    <t xml:space="preserve">cost of light </t>
  </si>
  <si>
    <t xml:space="preserve">Data from DPR </t>
  </si>
  <si>
    <t xml:space="preserve">LED cost </t>
  </si>
  <si>
    <t>LED</t>
  </si>
  <si>
    <t>Labour, instalation and Other Cost</t>
  </si>
  <si>
    <t xml:space="preserve">Total Cost </t>
  </si>
  <si>
    <t xml:space="preserve">Summary of Financials </t>
  </si>
  <si>
    <t xml:space="preserve">Payback Period </t>
  </si>
  <si>
    <t xml:space="preserve">7 years </t>
  </si>
  <si>
    <t xml:space="preserve">Average DSCR </t>
  </si>
  <si>
    <t>Road Category</t>
  </si>
  <si>
    <t>Annual Energy Saving (Kwh)</t>
  </si>
  <si>
    <t>Cost of System (INR)</t>
  </si>
  <si>
    <t>A-1</t>
  </si>
  <si>
    <t>A-2</t>
  </si>
  <si>
    <t>B-1</t>
  </si>
  <si>
    <t>B-2</t>
  </si>
  <si>
    <t>.</t>
  </si>
  <si>
    <t>Shirdi Nagar Panchyat Street Light</t>
  </si>
  <si>
    <t>Construction</t>
  </si>
  <si>
    <t>`</t>
  </si>
  <si>
    <t>service Tax</t>
  </si>
  <si>
    <t>Service Tax</t>
  </si>
  <si>
    <t>Superviser</t>
  </si>
  <si>
    <t>Total Savings Realization from project (at constant prices) &amp; ) O&amp;M</t>
  </si>
  <si>
    <t>Total Savings Realization from project</t>
  </si>
  <si>
    <t>O&amp;M services Expenses</t>
  </si>
  <si>
    <t>ESCO IRR CALCULATIONS</t>
  </si>
  <si>
    <t>Project IRR Calculation</t>
  </si>
  <si>
    <t>Equity IRR Calculation</t>
  </si>
  <si>
    <t xml:space="preserve">Equity </t>
  </si>
  <si>
    <t>Net equity cashflows</t>
  </si>
  <si>
    <t>less Repayment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</si>
</sst>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0_);_(* \(#,##0.0000\);_(* &quot;-&quot;??_);_(@_)"/>
    <numFmt numFmtId="176" formatCode="[$-409]d\-mmm\-yy;@"/>
    <numFmt numFmtId="177" formatCode="0.000%"/>
    <numFmt numFmtId="178" formatCode="0.00000%"/>
    <numFmt numFmtId="179" formatCode="0.000_)"/>
    <numFmt numFmtId="180" formatCode="#,##0.0_);\(#,##0.0\)"/>
    <numFmt numFmtId="181" formatCode="_-* #,##0\ _F_-;\-* #,##0\ _F_-;_-* &quot;-&quot;\ _F_-;_-@_-"/>
    <numFmt numFmtId="182" formatCode="_-* #,##0.00\ _F_-;\-* #,##0.00\ _F_-;_-* &quot;-&quot;??\ _F_-;_-@_-"/>
    <numFmt numFmtId="183" formatCode="_ * #,##0_)\ &quot;$&quot;_ ;_ * \(#,##0\)\ &quot;$&quot;_ ;_ * &quot;-&quot;_)\ &quot;$&quot;_ ;_ @_ "/>
    <numFmt numFmtId="184" formatCode="_ * #,##0.00_)\ &quot;$&quot;_ ;_ * \(#,##0.00\)\ &quot;$&quot;_ ;_ * &quot;-&quot;??_)\ &quot;$&quot;_ ;_ @_ "/>
    <numFmt numFmtId="185" formatCode="0.00_)"/>
    <numFmt numFmtId="186" formatCode="#,##0.0_);[Red]\(#,##0.0\)"/>
    <numFmt numFmtId="187" formatCode="0.00_ ;[Red]\-0.00\ "/>
    <numFmt numFmtId="188" formatCode="0.0000%"/>
    <numFmt numFmtId="189" formatCode="_(* #,##0.000_);_(* \(#,##0.000\);_(* &quot;-&quot;??_);_(@_)"/>
    <numFmt numFmtId="190" formatCode="[$₹-4009]\ #,##0.00;[Red][$₹-4009]\ \-#,##0.00"/>
    <numFmt numFmtId="191" formatCode="0.000"/>
    <numFmt numFmtId="192" formatCode="[$-409]dddd\,\ mmmm\ dd\,\ yyyy"/>
    <numFmt numFmtId="193" formatCode="0.0%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_(* #,##0.0000_);_(* \(#,##0.0000\);_(* &quot;-&quot;????_);_(@_)"/>
    <numFmt numFmtId="204" formatCode="_(* #,##0.000_);_(* \(#,##0.000\);_(* &quot;-&quot;???_);_(@_)"/>
  </numFmts>
  <fonts count="106">
    <font>
      <sz val="10"/>
      <name val="Arial"/>
      <family val="0"/>
    </font>
    <font>
      <sz val="8"/>
      <name val="Arial"/>
      <family val="2"/>
    </font>
    <font>
      <sz val="10"/>
      <color indexed="18"/>
      <name val="Verdana"/>
      <family val="2"/>
    </font>
    <font>
      <u val="single"/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i/>
      <sz val="10"/>
      <color indexed="62"/>
      <name val="Verdana"/>
      <family val="2"/>
    </font>
    <font>
      <sz val="8"/>
      <color indexed="62"/>
      <name val="Verdana"/>
      <family val="2"/>
    </font>
    <font>
      <u val="single"/>
      <sz val="10"/>
      <color indexed="62"/>
      <name val="Verdana"/>
      <family val="2"/>
    </font>
    <font>
      <sz val="10"/>
      <color indexed="4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6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u val="single"/>
      <sz val="10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11"/>
      <name val="Garamond"/>
      <family val="1"/>
    </font>
    <font>
      <b/>
      <sz val="11"/>
      <name val="Garamond"/>
      <family val="1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Switzerland"/>
      <family val="0"/>
    </font>
    <font>
      <b/>
      <sz val="8"/>
      <name val="Arial"/>
      <family val="2"/>
    </font>
    <font>
      <b/>
      <sz val="10"/>
      <name val="MS Sans Serif"/>
      <family val="2"/>
    </font>
    <font>
      <b/>
      <sz val="8"/>
      <name val="switzerland"/>
      <family val="0"/>
    </font>
    <font>
      <b/>
      <sz val="7.5"/>
      <name val="Switzerland"/>
      <family val="0"/>
    </font>
    <font>
      <sz val="11"/>
      <name val="Tms Rmn"/>
      <family val="0"/>
    </font>
    <font>
      <sz val="8"/>
      <name val="switzerland"/>
      <family val="0"/>
    </font>
    <font>
      <sz val="10"/>
      <color indexed="10"/>
      <name val="Times New Roman"/>
      <family val="1"/>
    </font>
    <font>
      <b/>
      <sz val="11"/>
      <name val="switzerland"/>
      <family val="0"/>
    </font>
    <font>
      <b/>
      <sz val="14"/>
      <name val="MS Sans Serif"/>
      <family val="2"/>
    </font>
    <font>
      <i/>
      <sz val="8"/>
      <name val="Switzerland"/>
      <family val="0"/>
    </font>
    <font>
      <i/>
      <sz val="7.5"/>
      <name val="Switzerland"/>
      <family val="0"/>
    </font>
    <font>
      <sz val="12"/>
      <name val="Times New Roman"/>
      <family val="1"/>
    </font>
    <font>
      <sz val="10"/>
      <color indexed="10"/>
      <name val="Tms Rmn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name val="Arial Black"/>
      <family val="2"/>
    </font>
    <font>
      <sz val="12"/>
      <name val="바탕체"/>
      <family val="1"/>
    </font>
    <font>
      <b/>
      <sz val="12"/>
      <name val="Garamond"/>
      <family val="1"/>
    </font>
    <font>
      <sz val="12"/>
      <name val="Garamond"/>
      <family val="1"/>
    </font>
    <font>
      <u val="single"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name val="Arial"/>
      <family val="2"/>
    </font>
    <font>
      <sz val="10"/>
      <color indexed="56"/>
      <name val="Verdana"/>
      <family val="2"/>
    </font>
    <font>
      <sz val="10"/>
      <color indexed="9"/>
      <name val="Verdana"/>
      <family val="2"/>
    </font>
    <font>
      <u val="single"/>
      <sz val="10"/>
      <color indexed="9"/>
      <name val="Verdana"/>
      <family val="2"/>
    </font>
    <font>
      <b/>
      <u val="single"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thin">
        <color indexed="22"/>
      </right>
      <top style="dashed">
        <color indexed="22"/>
      </top>
      <bottom style="dashed">
        <color indexed="22"/>
      </bottom>
    </border>
    <border>
      <left style="thin">
        <color indexed="22"/>
      </left>
      <right style="dashed">
        <color indexed="22"/>
      </right>
      <top style="dashed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dashed">
        <color indexed="22"/>
      </top>
      <bottom style="thin">
        <color indexed="22"/>
      </bottom>
    </border>
    <border>
      <left style="thin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thin">
        <color indexed="22"/>
      </right>
      <top style="dashed">
        <color indexed="22"/>
      </top>
      <bottom>
        <color indexed="63"/>
      </bottom>
    </border>
    <border>
      <left style="thin"/>
      <right style="dashed">
        <color indexed="22"/>
      </right>
      <top style="thin"/>
      <bottom style="double"/>
    </border>
    <border>
      <left style="dashed">
        <color indexed="22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dashed">
        <color indexed="22"/>
      </right>
      <top style="thin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dashed">
        <color indexed="22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dashed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1" fillId="0" borderId="1" applyFill="0" applyBorder="0">
      <alignment vertical="center"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5" fontId="32" fillId="0" borderId="2" applyAlignment="0" applyProtection="0"/>
    <xf numFmtId="0" fontId="89" fillId="26" borderId="3" applyNumberFormat="0" applyAlignment="0" applyProtection="0"/>
    <xf numFmtId="0" fontId="90" fillId="27" borderId="4" applyNumberFormat="0" applyAlignment="0" applyProtection="0"/>
    <xf numFmtId="1" fontId="33" fillId="0" borderId="0">
      <alignment vertical="center"/>
      <protection/>
    </xf>
    <xf numFmtId="1" fontId="33" fillId="0" borderId="0">
      <alignment vertical="center"/>
      <protection/>
    </xf>
    <xf numFmtId="0" fontId="34" fillId="0" borderId="0">
      <alignment horizontal="right" vertical="center"/>
      <protection/>
    </xf>
    <xf numFmtId="1" fontId="33" fillId="0" borderId="0">
      <alignment vertical="center"/>
      <protection/>
    </xf>
    <xf numFmtId="43" fontId="0" fillId="0" borderId="0" applyFont="0" applyFill="0" applyBorder="0" applyAlignment="0" applyProtection="0"/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6" fillId="0" borderId="0">
      <alignment vertical="center"/>
      <protection/>
    </xf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37" fillId="28" borderId="0" applyNumberFormat="0" applyFill="0" applyBorder="0" applyAlignment="0" applyProtection="0"/>
    <xf numFmtId="0" fontId="92" fillId="29" borderId="0" applyNumberFormat="0" applyBorder="0" applyAlignment="0" applyProtection="0"/>
    <xf numFmtId="38" fontId="1" fillId="30" borderId="0" applyNumberFormat="0" applyBorder="0" applyAlignment="0" applyProtection="0"/>
    <xf numFmtId="0" fontId="38" fillId="0" borderId="5">
      <alignment vertical="center"/>
      <protection/>
    </xf>
    <xf numFmtId="0" fontId="39" fillId="31" borderId="6" applyNumberFormat="0" applyFont="0" applyAlignment="0">
      <protection/>
    </xf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96" fillId="32" borderId="3" applyNumberFormat="0" applyAlignment="0" applyProtection="0"/>
    <xf numFmtId="10" fontId="1" fillId="33" borderId="6" applyNumberFormat="0" applyBorder="0" applyAlignment="0" applyProtection="0"/>
    <xf numFmtId="0" fontId="42" fillId="0" borderId="0">
      <alignment vertical="top"/>
      <protection/>
    </xf>
    <xf numFmtId="0" fontId="97" fillId="0" borderId="10" applyNumberFormat="0" applyFill="0" applyAlignment="0" applyProtection="0"/>
    <xf numFmtId="180" fontId="43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34" borderId="0" applyNumberFormat="0" applyBorder="0" applyAlignment="0" applyProtection="0"/>
    <xf numFmtId="37" fontId="44" fillId="0" borderId="0">
      <alignment/>
      <protection/>
    </xf>
    <xf numFmtId="185" fontId="45" fillId="0" borderId="0">
      <alignment/>
      <protection/>
    </xf>
    <xf numFmtId="0" fontId="25" fillId="0" borderId="0">
      <alignment/>
      <protection/>
    </xf>
    <xf numFmtId="186" fontId="31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99" fillId="26" borderId="12" applyNumberFormat="0" applyAlignment="0" applyProtection="0"/>
    <xf numFmtId="40" fontId="46" fillId="36" borderId="0">
      <alignment horizontal="right"/>
      <protection/>
    </xf>
    <xf numFmtId="0" fontId="47" fillId="33" borderId="0">
      <alignment horizontal="center"/>
      <protection/>
    </xf>
    <xf numFmtId="0" fontId="48" fillId="37" borderId="13">
      <alignment/>
      <protection/>
    </xf>
    <xf numFmtId="0" fontId="49" fillId="0" borderId="0" applyBorder="0">
      <alignment horizontal="centerContinuous"/>
      <protection/>
    </xf>
    <xf numFmtId="0" fontId="50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center" wrapText="1"/>
      <protection/>
    </xf>
    <xf numFmtId="0" fontId="38" fillId="0" borderId="0" applyNumberFormat="0" applyFont="0" applyBorder="0" applyAlignment="0">
      <protection/>
    </xf>
    <xf numFmtId="1" fontId="38" fillId="0" borderId="0">
      <alignment vertical="center"/>
      <protection/>
    </xf>
    <xf numFmtId="0" fontId="100" fillId="0" borderId="0" applyNumberFormat="0" applyFill="0" applyBorder="0" applyAlignment="0" applyProtection="0"/>
    <xf numFmtId="187" fontId="31" fillId="1" borderId="14" applyNumberFormat="0" applyBorder="0">
      <alignment horizontal="center"/>
      <protection/>
    </xf>
    <xf numFmtId="187" fontId="51" fillId="38" borderId="6">
      <alignment/>
      <protection/>
    </xf>
    <xf numFmtId="0" fontId="101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>
      <alignment/>
      <protection/>
    </xf>
  </cellStyleXfs>
  <cellXfs count="742">
    <xf numFmtId="0" fontId="0" fillId="0" borderId="0" xfId="0" applyAlignment="1">
      <alignment/>
    </xf>
    <xf numFmtId="0" fontId="4" fillId="36" borderId="16" xfId="0" applyFont="1" applyFill="1" applyBorder="1" applyAlignment="1" applyProtection="1">
      <alignment horizontal="left"/>
      <protection hidden="1"/>
    </xf>
    <xf numFmtId="0" fontId="2" fillId="36" borderId="17" xfId="0" applyFont="1" applyFill="1" applyBorder="1" applyAlignment="1" applyProtection="1">
      <alignment shrinkToFit="1"/>
      <protection hidden="1"/>
    </xf>
    <xf numFmtId="0" fontId="2" fillId="36" borderId="18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shrinkToFit="1"/>
      <protection hidden="1"/>
    </xf>
    <xf numFmtId="0" fontId="4" fillId="36" borderId="6" xfId="0" applyFont="1" applyFill="1" applyBorder="1" applyAlignment="1" applyProtection="1">
      <alignment horizontal="center" shrinkToFit="1"/>
      <protection hidden="1"/>
    </xf>
    <xf numFmtId="43" fontId="2" fillId="36" borderId="6" xfId="51" applyFont="1" applyFill="1" applyBorder="1" applyAlignment="1" applyProtection="1">
      <alignment shrinkToFit="1"/>
      <protection hidden="1"/>
    </xf>
    <xf numFmtId="0" fontId="2" fillId="36" borderId="6" xfId="0" applyFont="1" applyFill="1" applyBorder="1" applyAlignment="1" applyProtection="1">
      <alignment shrinkToFit="1"/>
      <protection hidden="1"/>
    </xf>
    <xf numFmtId="0" fontId="2" fillId="36" borderId="19" xfId="0" applyFont="1" applyFill="1" applyBorder="1" applyAlignment="1" applyProtection="1">
      <alignment shrinkToFit="1"/>
      <protection hidden="1"/>
    </xf>
    <xf numFmtId="0" fontId="4" fillId="36" borderId="18" xfId="0" applyFont="1" applyFill="1" applyBorder="1" applyAlignment="1" applyProtection="1">
      <alignment horizontal="left"/>
      <protection hidden="1"/>
    </xf>
    <xf numFmtId="0" fontId="2" fillId="36" borderId="20" xfId="0" applyFont="1" applyFill="1" applyBorder="1" applyAlignment="1" applyProtection="1">
      <alignment shrinkToFit="1"/>
      <protection hidden="1"/>
    </xf>
    <xf numFmtId="43" fontId="2" fillId="36" borderId="6" xfId="0" applyNumberFormat="1" applyFont="1" applyFill="1" applyBorder="1" applyAlignment="1" applyProtection="1">
      <alignment shrinkToFit="1"/>
      <protection hidden="1"/>
    </xf>
    <xf numFmtId="43" fontId="2" fillId="36" borderId="21" xfId="0" applyNumberFormat="1" applyFont="1" applyFill="1" applyBorder="1" applyAlignment="1" applyProtection="1">
      <alignment shrinkToFit="1"/>
      <protection hidden="1"/>
    </xf>
    <xf numFmtId="0" fontId="2" fillId="36" borderId="21" xfId="0" applyFont="1" applyFill="1" applyBorder="1" applyAlignment="1" applyProtection="1">
      <alignment shrinkToFit="1"/>
      <protection hidden="1"/>
    </xf>
    <xf numFmtId="0" fontId="4" fillId="36" borderId="0" xfId="0" applyFont="1" applyFill="1" applyBorder="1" applyAlignment="1" applyProtection="1">
      <alignment horizontal="right" shrinkToFit="1"/>
      <protection hidden="1"/>
    </xf>
    <xf numFmtId="0" fontId="4" fillId="36" borderId="0" xfId="0" applyFont="1" applyFill="1" applyBorder="1" applyAlignment="1" applyProtection="1">
      <alignment shrinkToFit="1"/>
      <protection hidden="1"/>
    </xf>
    <xf numFmtId="0" fontId="3" fillId="36" borderId="22" xfId="0" applyFont="1" applyFill="1" applyBorder="1" applyAlignment="1" applyProtection="1">
      <alignment/>
      <protection hidden="1"/>
    </xf>
    <xf numFmtId="0" fontId="2" fillId="36" borderId="23" xfId="0" applyFont="1" applyFill="1" applyBorder="1" applyAlignment="1" applyProtection="1">
      <alignment shrinkToFit="1"/>
      <protection hidden="1"/>
    </xf>
    <xf numFmtId="0" fontId="2" fillId="36" borderId="24" xfId="0" applyFont="1" applyFill="1" applyBorder="1" applyAlignment="1" applyProtection="1">
      <alignment shrinkToFit="1"/>
      <protection hidden="1"/>
    </xf>
    <xf numFmtId="43" fontId="2" fillId="36" borderId="6" xfId="51" applyNumberFormat="1" applyFont="1" applyFill="1" applyBorder="1" applyAlignment="1" applyProtection="1">
      <alignment shrinkToFit="1"/>
      <protection hidden="1"/>
    </xf>
    <xf numFmtId="43" fontId="6" fillId="39" borderId="0" xfId="51" applyNumberFormat="1" applyFont="1" applyFill="1" applyBorder="1" applyAlignment="1" applyProtection="1">
      <alignment shrinkToFit="1"/>
      <protection locked="0"/>
    </xf>
    <xf numFmtId="0" fontId="16" fillId="36" borderId="0" xfId="0" applyFont="1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36" borderId="0" xfId="0" applyFont="1" applyFill="1" applyBorder="1" applyAlignment="1" applyProtection="1">
      <alignment/>
      <protection hidden="1"/>
    </xf>
    <xf numFmtId="43" fontId="16" fillId="36" borderId="0" xfId="0" applyNumberFormat="1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/>
      <protection hidden="1"/>
    </xf>
    <xf numFmtId="43" fontId="17" fillId="36" borderId="0" xfId="0" applyNumberFormat="1" applyFont="1" applyFill="1" applyBorder="1" applyAlignment="1" applyProtection="1">
      <alignment/>
      <protection hidden="1"/>
    </xf>
    <xf numFmtId="43" fontId="2" fillId="36" borderId="14" xfId="0" applyNumberFormat="1" applyFont="1" applyFill="1" applyBorder="1" applyAlignment="1" applyProtection="1">
      <alignment shrinkToFit="1"/>
      <protection hidden="1"/>
    </xf>
    <xf numFmtId="0" fontId="3" fillId="36" borderId="25" xfId="0" applyFont="1" applyFill="1" applyBorder="1" applyAlignment="1" applyProtection="1">
      <alignment/>
      <protection hidden="1"/>
    </xf>
    <xf numFmtId="0" fontId="2" fillId="36" borderId="26" xfId="0" applyFont="1" applyFill="1" applyBorder="1" applyAlignment="1" applyProtection="1">
      <alignment shrinkToFit="1"/>
      <protection hidden="1"/>
    </xf>
    <xf numFmtId="0" fontId="2" fillId="36" borderId="27" xfId="0" applyFont="1" applyFill="1" applyBorder="1" applyAlignment="1" applyProtection="1">
      <alignment shrinkToFit="1"/>
      <protection hidden="1"/>
    </xf>
    <xf numFmtId="10" fontId="4" fillId="36" borderId="28" xfId="0" applyNumberFormat="1" applyFont="1" applyFill="1" applyBorder="1" applyAlignment="1" applyProtection="1">
      <alignment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/>
      <protection hidden="1"/>
    </xf>
    <xf numFmtId="43" fontId="16" fillId="36" borderId="0" xfId="51" applyFont="1" applyFill="1" applyBorder="1" applyAlignment="1" applyProtection="1">
      <alignment/>
      <protection hidden="1"/>
    </xf>
    <xf numFmtId="0" fontId="18" fillId="36" borderId="0" xfId="0" applyFont="1" applyFill="1" applyBorder="1" applyAlignment="1" applyProtection="1">
      <alignment/>
      <protection hidden="1"/>
    </xf>
    <xf numFmtId="0" fontId="16" fillId="36" borderId="0" xfId="0" applyFont="1" applyFill="1" applyBorder="1" applyAlignment="1" applyProtection="1">
      <alignment horizontal="center"/>
      <protection hidden="1"/>
    </xf>
    <xf numFmtId="10" fontId="16" fillId="36" borderId="0" xfId="103" applyNumberFormat="1" applyFont="1" applyFill="1" applyBorder="1" applyAlignment="1" applyProtection="1">
      <alignment/>
      <protection hidden="1"/>
    </xf>
    <xf numFmtId="0" fontId="0" fillId="36" borderId="0" xfId="17" applyFont="1" applyFill="1" applyAlignment="1">
      <alignment/>
    </xf>
    <xf numFmtId="0" fontId="20" fillId="0" borderId="0" xfId="17" applyFont="1" applyAlignment="1">
      <alignment/>
    </xf>
    <xf numFmtId="0" fontId="0" fillId="0" borderId="0" xfId="17" applyFont="1" applyAlignment="1">
      <alignment/>
    </xf>
    <xf numFmtId="2" fontId="0" fillId="0" borderId="0" xfId="17" applyNumberFormat="1" applyFont="1" applyAlignment="1">
      <alignment/>
    </xf>
    <xf numFmtId="9" fontId="2" fillId="36" borderId="23" xfId="51" applyNumberFormat="1" applyFont="1" applyFill="1" applyBorder="1" applyAlignment="1" applyProtection="1">
      <alignment shrinkToFit="1"/>
      <protection hidden="1"/>
    </xf>
    <xf numFmtId="0" fontId="16" fillId="0" borderId="0" xfId="0" applyFont="1" applyAlignment="1">
      <alignment/>
    </xf>
    <xf numFmtId="0" fontId="21" fillId="0" borderId="25" xfId="17" applyFont="1" applyBorder="1" applyAlignment="1">
      <alignment/>
    </xf>
    <xf numFmtId="0" fontId="16" fillId="0" borderId="26" xfId="17" applyFont="1" applyBorder="1" applyAlignment="1">
      <alignment/>
    </xf>
    <xf numFmtId="2" fontId="16" fillId="0" borderId="26" xfId="17" applyNumberFormat="1" applyFont="1" applyBorder="1" applyAlignment="1">
      <alignment/>
    </xf>
    <xf numFmtId="0" fontId="16" fillId="0" borderId="22" xfId="17" applyFont="1" applyBorder="1" applyAlignment="1">
      <alignment/>
    </xf>
    <xf numFmtId="1" fontId="16" fillId="0" borderId="6" xfId="17" applyNumberFormat="1" applyFont="1" applyBorder="1" applyAlignment="1">
      <alignment horizontal="center"/>
    </xf>
    <xf numFmtId="0" fontId="16" fillId="0" borderId="6" xfId="17" applyFont="1" applyBorder="1" applyAlignment="1">
      <alignment/>
    </xf>
    <xf numFmtId="0" fontId="16" fillId="0" borderId="21" xfId="17" applyFont="1" applyBorder="1" applyAlignment="1">
      <alignment/>
    </xf>
    <xf numFmtId="0" fontId="16" fillId="0" borderId="22" xfId="17" applyFont="1" applyFill="1" applyBorder="1" applyAlignment="1">
      <alignment/>
    </xf>
    <xf numFmtId="9" fontId="16" fillId="0" borderId="6" xfId="17" applyNumberFormat="1" applyFont="1" applyBorder="1" applyAlignment="1">
      <alignment horizontal="center"/>
    </xf>
    <xf numFmtId="9" fontId="16" fillId="0" borderId="6" xfId="17" applyNumberFormat="1" applyFont="1" applyBorder="1" applyAlignment="1">
      <alignment/>
    </xf>
    <xf numFmtId="174" fontId="16" fillId="0" borderId="6" xfId="17" applyNumberFormat="1" applyFont="1" applyBorder="1" applyAlignment="1">
      <alignment horizontal="center"/>
    </xf>
    <xf numFmtId="0" fontId="16" fillId="0" borderId="28" xfId="17" applyFont="1" applyFill="1" applyBorder="1" applyAlignment="1">
      <alignment/>
    </xf>
    <xf numFmtId="0" fontId="16" fillId="0" borderId="23" xfId="17" applyFont="1" applyBorder="1" applyAlignment="1">
      <alignment/>
    </xf>
    <xf numFmtId="1" fontId="16" fillId="0" borderId="23" xfId="17" applyNumberFormat="1" applyFont="1" applyBorder="1" applyAlignment="1">
      <alignment horizontal="center"/>
    </xf>
    <xf numFmtId="0" fontId="16" fillId="0" borderId="0" xfId="17" applyFont="1" applyFill="1" applyBorder="1" applyAlignment="1">
      <alignment/>
    </xf>
    <xf numFmtId="43" fontId="16" fillId="0" borderId="0" xfId="51" applyFont="1" applyFill="1" applyAlignment="1">
      <alignment/>
    </xf>
    <xf numFmtId="43" fontId="17" fillId="0" borderId="25" xfId="51" applyFont="1" applyFill="1" applyBorder="1" applyAlignment="1">
      <alignment horizontal="center"/>
    </xf>
    <xf numFmtId="43" fontId="17" fillId="0" borderId="26" xfId="51" applyFont="1" applyFill="1" applyBorder="1" applyAlignment="1">
      <alignment horizontal="center"/>
    </xf>
    <xf numFmtId="43" fontId="16" fillId="0" borderId="26" xfId="51" applyFont="1" applyFill="1" applyBorder="1" applyAlignment="1">
      <alignment/>
    </xf>
    <xf numFmtId="43" fontId="17" fillId="0" borderId="26" xfId="51" applyFont="1" applyFill="1" applyBorder="1" applyAlignment="1">
      <alignment/>
    </xf>
    <xf numFmtId="43" fontId="16" fillId="0" borderId="27" xfId="51" applyFont="1" applyFill="1" applyBorder="1" applyAlignment="1">
      <alignment/>
    </xf>
    <xf numFmtId="0" fontId="17" fillId="0" borderId="22" xfId="17" applyFont="1" applyFill="1" applyBorder="1" applyAlignment="1">
      <alignment horizontal="left"/>
    </xf>
    <xf numFmtId="0" fontId="16" fillId="0" borderId="0" xfId="17" applyFont="1" applyFill="1" applyAlignment="1">
      <alignment/>
    </xf>
    <xf numFmtId="43" fontId="17" fillId="0" borderId="22" xfId="51" applyFont="1" applyFill="1" applyBorder="1" applyAlignment="1">
      <alignment/>
    </xf>
    <xf numFmtId="43" fontId="16" fillId="0" borderId="6" xfId="51" applyFont="1" applyFill="1" applyBorder="1" applyAlignment="1">
      <alignment/>
    </xf>
    <xf numFmtId="43" fontId="16" fillId="0" borderId="21" xfId="51" applyFont="1" applyFill="1" applyBorder="1" applyAlignment="1">
      <alignment/>
    </xf>
    <xf numFmtId="43" fontId="22" fillId="0" borderId="22" xfId="51" applyFont="1" applyFill="1" applyBorder="1" applyAlignment="1">
      <alignment/>
    </xf>
    <xf numFmtId="43" fontId="16" fillId="0" borderId="22" xfId="51" applyFont="1" applyFill="1" applyBorder="1" applyAlignment="1">
      <alignment/>
    </xf>
    <xf numFmtId="43" fontId="16" fillId="0" borderId="6" xfId="51" applyNumberFormat="1" applyFont="1" applyFill="1" applyBorder="1" applyAlignment="1">
      <alignment/>
    </xf>
    <xf numFmtId="43" fontId="16" fillId="0" borderId="21" xfId="51" applyNumberFormat="1" applyFont="1" applyFill="1" applyBorder="1" applyAlignment="1">
      <alignment/>
    </xf>
    <xf numFmtId="43" fontId="23" fillId="0" borderId="22" xfId="51" applyFont="1" applyFill="1" applyBorder="1" applyAlignment="1">
      <alignment/>
    </xf>
    <xf numFmtId="43" fontId="22" fillId="0" borderId="22" xfId="51" applyFont="1" applyFill="1" applyBorder="1" applyAlignment="1">
      <alignment horizontal="right"/>
    </xf>
    <xf numFmtId="172" fontId="16" fillId="0" borderId="6" xfId="51" applyNumberFormat="1" applyFont="1" applyFill="1" applyBorder="1" applyAlignment="1">
      <alignment/>
    </xf>
    <xf numFmtId="43" fontId="17" fillId="0" borderId="28" xfId="51" applyFont="1" applyFill="1" applyBorder="1" applyAlignment="1">
      <alignment/>
    </xf>
    <xf numFmtId="43" fontId="17" fillId="0" borderId="0" xfId="51" applyFont="1" applyFill="1" applyAlignment="1">
      <alignment/>
    </xf>
    <xf numFmtId="2" fontId="16" fillId="0" borderId="6" xfId="17" applyNumberFormat="1" applyFont="1" applyBorder="1" applyAlignment="1">
      <alignment/>
    </xf>
    <xf numFmtId="0" fontId="17" fillId="0" borderId="22" xfId="17" applyFont="1" applyBorder="1" applyAlignment="1">
      <alignment/>
    </xf>
    <xf numFmtId="0" fontId="22" fillId="0" borderId="22" xfId="0" applyFont="1" applyBorder="1" applyAlignment="1">
      <alignment/>
    </xf>
    <xf numFmtId="2" fontId="16" fillId="0" borderId="6" xfId="17" applyNumberFormat="1" applyFont="1" applyBorder="1" applyAlignment="1">
      <alignment horizontal="center"/>
    </xf>
    <xf numFmtId="2" fontId="16" fillId="0" borderId="6" xfId="0" applyNumberFormat="1" applyFont="1" applyBorder="1" applyAlignment="1">
      <alignment/>
    </xf>
    <xf numFmtId="0" fontId="16" fillId="0" borderId="29" xfId="17" applyFont="1" applyBorder="1" applyAlignment="1">
      <alignment/>
    </xf>
    <xf numFmtId="0" fontId="16" fillId="0" borderId="30" xfId="17" applyFont="1" applyBorder="1" applyAlignment="1">
      <alignment/>
    </xf>
    <xf numFmtId="0" fontId="16" fillId="36" borderId="30" xfId="17" applyFont="1" applyFill="1" applyBorder="1" applyAlignment="1">
      <alignment/>
    </xf>
    <xf numFmtId="0" fontId="16" fillId="36" borderId="0" xfId="17" applyFont="1" applyFill="1" applyAlignment="1">
      <alignment/>
    </xf>
    <xf numFmtId="2" fontId="16" fillId="0" borderId="0" xfId="17" applyNumberFormat="1" applyFont="1" applyBorder="1" applyAlignment="1">
      <alignment/>
    </xf>
    <xf numFmtId="0" fontId="16" fillId="0" borderId="6" xfId="0" applyFont="1" applyBorder="1" applyAlignment="1">
      <alignment/>
    </xf>
    <xf numFmtId="43" fontId="16" fillId="0" borderId="6" xfId="0" applyNumberFormat="1" applyFont="1" applyBorder="1" applyAlignment="1">
      <alignment/>
    </xf>
    <xf numFmtId="0" fontId="16" fillId="0" borderId="21" xfId="0" applyFont="1" applyBorder="1" applyAlignment="1">
      <alignment/>
    </xf>
    <xf numFmtId="43" fontId="16" fillId="0" borderId="21" xfId="0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59" fillId="36" borderId="16" xfId="0" applyFont="1" applyFill="1" applyBorder="1" applyAlignment="1">
      <alignment/>
    </xf>
    <xf numFmtId="0" fontId="59" fillId="36" borderId="18" xfId="0" applyFont="1" applyFill="1" applyBorder="1" applyAlignment="1">
      <alignment/>
    </xf>
    <xf numFmtId="0" fontId="59" fillId="0" borderId="22" xfId="0" applyFont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59" fillId="0" borderId="28" xfId="0" applyFont="1" applyBorder="1" applyAlignment="1">
      <alignment/>
    </xf>
    <xf numFmtId="43" fontId="16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0" fontId="16" fillId="0" borderId="23" xfId="0" applyNumberFormat="1" applyFont="1" applyBorder="1" applyAlignment="1">
      <alignment/>
    </xf>
    <xf numFmtId="172" fontId="9" fillId="39" borderId="0" xfId="51" applyNumberFormat="1" applyFont="1" applyFill="1" applyBorder="1" applyAlignment="1" applyProtection="1">
      <alignment shrinkToFit="1"/>
      <protection locked="0"/>
    </xf>
    <xf numFmtId="43" fontId="6" fillId="39" borderId="0" xfId="51" applyFont="1" applyFill="1" applyBorder="1" applyAlignment="1" applyProtection="1">
      <alignment shrinkToFit="1"/>
      <protection locked="0"/>
    </xf>
    <xf numFmtId="9" fontId="6" fillId="39" borderId="0" xfId="51" applyNumberFormat="1" applyFont="1" applyFill="1" applyBorder="1" applyAlignment="1" applyProtection="1">
      <alignment horizontal="right" shrinkToFit="1"/>
      <protection locked="0"/>
    </xf>
    <xf numFmtId="0" fontId="26" fillId="36" borderId="0" xfId="92" applyFont="1" applyFill="1">
      <alignment/>
      <protection/>
    </xf>
    <xf numFmtId="0" fontId="25" fillId="36" borderId="0" xfId="94" applyFill="1">
      <alignment/>
      <protection/>
    </xf>
    <xf numFmtId="0" fontId="26" fillId="36" borderId="0" xfId="92" applyFont="1" applyFill="1" applyAlignment="1">
      <alignment vertical="top"/>
      <protection/>
    </xf>
    <xf numFmtId="0" fontId="26" fillId="36" borderId="0" xfId="94" applyFont="1" applyFill="1">
      <alignment/>
      <protection/>
    </xf>
    <xf numFmtId="0" fontId="26" fillId="36" borderId="0" xfId="94" applyFont="1" applyFill="1" applyAlignment="1">
      <alignment vertical="top"/>
      <protection/>
    </xf>
    <xf numFmtId="0" fontId="28" fillId="36" borderId="31" xfId="95" applyFont="1" applyFill="1" applyBorder="1">
      <alignment/>
      <protection/>
    </xf>
    <xf numFmtId="0" fontId="28" fillId="36" borderId="32" xfId="95" applyFont="1" applyFill="1" applyBorder="1" applyAlignment="1">
      <alignment horizontal="center" vertical="top" wrapText="1"/>
      <protection/>
    </xf>
    <xf numFmtId="0" fontId="28" fillId="36" borderId="33" xfId="95" applyFont="1" applyFill="1" applyBorder="1" applyAlignment="1">
      <alignment horizontal="center" vertical="top" wrapText="1"/>
      <protection/>
    </xf>
    <xf numFmtId="10" fontId="28" fillId="36" borderId="32" xfId="95" applyNumberFormat="1" applyFont="1" applyFill="1" applyBorder="1" applyAlignment="1">
      <alignment horizontal="center"/>
      <protection/>
    </xf>
    <xf numFmtId="39" fontId="28" fillId="36" borderId="32" xfId="61" applyNumberFormat="1" applyFont="1" applyFill="1" applyBorder="1" applyAlignment="1">
      <alignment horizontal="center"/>
    </xf>
    <xf numFmtId="0" fontId="29" fillId="36" borderId="34" xfId="95" applyFont="1" applyFill="1" applyBorder="1">
      <alignment/>
      <protection/>
    </xf>
    <xf numFmtId="10" fontId="28" fillId="36" borderId="35" xfId="105" applyNumberFormat="1" applyFont="1" applyFill="1" applyBorder="1" applyAlignment="1">
      <alignment horizontal="center"/>
    </xf>
    <xf numFmtId="0" fontId="28" fillId="36" borderId="36" xfId="95" applyFont="1" applyFill="1" applyBorder="1" applyAlignment="1">
      <alignment horizontal="center"/>
      <protection/>
    </xf>
    <xf numFmtId="0" fontId="25" fillId="36" borderId="0" xfId="95" applyFont="1" applyFill="1">
      <alignment/>
      <protection/>
    </xf>
    <xf numFmtId="0" fontId="25" fillId="36" borderId="0" xfId="95" applyFont="1" applyFill="1" applyAlignment="1">
      <alignment horizontal="center"/>
      <protection/>
    </xf>
    <xf numFmtId="0" fontId="28" fillId="36" borderId="37" xfId="95" applyFont="1" applyFill="1" applyBorder="1">
      <alignment/>
      <protection/>
    </xf>
    <xf numFmtId="0" fontId="29" fillId="36" borderId="38" xfId="95" applyFont="1" applyFill="1" applyBorder="1" applyAlignment="1">
      <alignment horizontal="center"/>
      <protection/>
    </xf>
    <xf numFmtId="0" fontId="29" fillId="36" borderId="39" xfId="95" applyFont="1" applyFill="1" applyBorder="1" applyAlignment="1">
      <alignment horizontal="center"/>
      <protection/>
    </xf>
    <xf numFmtId="10" fontId="28" fillId="36" borderId="38" xfId="105" applyNumberFormat="1" applyFont="1" applyFill="1" applyBorder="1" applyAlignment="1">
      <alignment horizontal="center"/>
    </xf>
    <xf numFmtId="10" fontId="28" fillId="36" borderId="39" xfId="95" applyNumberFormat="1" applyFont="1" applyFill="1" applyBorder="1" applyAlignment="1">
      <alignment horizontal="center"/>
      <protection/>
    </xf>
    <xf numFmtId="10" fontId="25" fillId="36" borderId="0" xfId="95" applyNumberFormat="1" applyFont="1" applyFill="1" applyAlignment="1">
      <alignment horizontal="center"/>
      <protection/>
    </xf>
    <xf numFmtId="0" fontId="29" fillId="36" borderId="37" xfId="95" applyFont="1" applyFill="1" applyBorder="1">
      <alignment/>
      <protection/>
    </xf>
    <xf numFmtId="10" fontId="29" fillId="36" borderId="38" xfId="105" applyNumberFormat="1" applyFont="1" applyFill="1" applyBorder="1" applyAlignment="1">
      <alignment horizontal="center"/>
    </xf>
    <xf numFmtId="0" fontId="28" fillId="36" borderId="39" xfId="95" applyFont="1" applyFill="1" applyBorder="1" applyAlignment="1">
      <alignment horizontal="center"/>
      <protection/>
    </xf>
    <xf numFmtId="177" fontId="25" fillId="36" borderId="0" xfId="105" applyNumberFormat="1" applyFont="1" applyFill="1" applyAlignment="1">
      <alignment horizontal="center"/>
    </xf>
    <xf numFmtId="178" fontId="25" fillId="36" borderId="0" xfId="105" applyNumberFormat="1" applyFont="1" applyFill="1" applyAlignment="1">
      <alignment horizontal="center"/>
    </xf>
    <xf numFmtId="0" fontId="25" fillId="36" borderId="0" xfId="94" applyFont="1" applyFill="1" applyAlignment="1">
      <alignment horizontal="center"/>
      <protection/>
    </xf>
    <xf numFmtId="0" fontId="26" fillId="36" borderId="0" xfId="95" applyFont="1" applyFill="1" applyBorder="1" applyAlignment="1">
      <alignment/>
      <protection/>
    </xf>
    <xf numFmtId="0" fontId="25" fillId="36" borderId="0" xfId="94" applyFill="1" applyAlignment="1">
      <alignment horizontal="center"/>
      <protection/>
    </xf>
    <xf numFmtId="0" fontId="29" fillId="36" borderId="31" xfId="95" applyFont="1" applyFill="1" applyBorder="1" applyAlignment="1">
      <alignment horizontal="center"/>
      <protection/>
    </xf>
    <xf numFmtId="0" fontId="29" fillId="36" borderId="33" xfId="95" applyFont="1" applyFill="1" applyBorder="1" applyAlignment="1">
      <alignment horizontal="center"/>
      <protection/>
    </xf>
    <xf numFmtId="0" fontId="25" fillId="36" borderId="40" xfId="95" applyFont="1" applyFill="1" applyBorder="1">
      <alignment/>
      <protection/>
    </xf>
    <xf numFmtId="0" fontId="25" fillId="36" borderId="41" xfId="95" applyFont="1" applyFill="1" applyBorder="1" applyAlignment="1">
      <alignment horizontal="center"/>
      <protection/>
    </xf>
    <xf numFmtId="0" fontId="26" fillId="40" borderId="42" xfId="95" applyFont="1" applyFill="1" applyBorder="1">
      <alignment/>
      <protection/>
    </xf>
    <xf numFmtId="10" fontId="26" fillId="40" borderId="43" xfId="105" applyNumberFormat="1" applyFont="1" applyFill="1" applyBorder="1" applyAlignment="1">
      <alignment horizontal="center"/>
    </xf>
    <xf numFmtId="0" fontId="25" fillId="36" borderId="0" xfId="92" applyFill="1">
      <alignment/>
      <protection/>
    </xf>
    <xf numFmtId="0" fontId="25" fillId="36" borderId="0" xfId="92" applyFill="1" applyAlignment="1">
      <alignment horizontal="center"/>
      <protection/>
    </xf>
    <xf numFmtId="176" fontId="26" fillId="36" borderId="0" xfId="92" applyNumberFormat="1" applyFont="1" applyFill="1">
      <alignment/>
      <protection/>
    </xf>
    <xf numFmtId="176" fontId="25" fillId="36" borderId="0" xfId="92" applyNumberFormat="1" applyFill="1">
      <alignment/>
      <protection/>
    </xf>
    <xf numFmtId="43" fontId="0" fillId="36" borderId="0" xfId="61" applyNumberFormat="1" applyFont="1" applyFill="1" applyAlignment="1">
      <alignment/>
    </xf>
    <xf numFmtId="43" fontId="0" fillId="36" borderId="0" xfId="61" applyFont="1" applyFill="1" applyAlignment="1">
      <alignment/>
    </xf>
    <xf numFmtId="43" fontId="25" fillId="36" borderId="0" xfId="92" applyNumberFormat="1" applyFill="1">
      <alignment/>
      <protection/>
    </xf>
    <xf numFmtId="10" fontId="25" fillId="36" borderId="0" xfId="92" applyNumberFormat="1" applyFill="1">
      <alignment/>
      <protection/>
    </xf>
    <xf numFmtId="10" fontId="0" fillId="36" borderId="0" xfId="105" applyNumberFormat="1" applyFont="1" applyFill="1" applyAlignment="1">
      <alignment/>
    </xf>
    <xf numFmtId="2" fontId="0" fillId="36" borderId="0" xfId="105" applyNumberFormat="1" applyFont="1" applyFill="1" applyAlignment="1">
      <alignment/>
    </xf>
    <xf numFmtId="9" fontId="28" fillId="36" borderId="31" xfId="95" applyNumberFormat="1" applyFont="1" applyFill="1" applyBorder="1" applyAlignment="1">
      <alignment horizontal="center"/>
      <protection/>
    </xf>
    <xf numFmtId="9" fontId="28" fillId="36" borderId="33" xfId="95" applyNumberFormat="1" applyFont="1" applyFill="1" applyBorder="1" applyAlignment="1">
      <alignment horizontal="center"/>
      <protection/>
    </xf>
    <xf numFmtId="188" fontId="28" fillId="36" borderId="33" xfId="95" applyNumberFormat="1" applyFont="1" applyFill="1" applyBorder="1" applyAlignment="1">
      <alignment horizontal="center"/>
      <protection/>
    </xf>
    <xf numFmtId="188" fontId="25" fillId="36" borderId="0" xfId="94" applyNumberFormat="1" applyFill="1">
      <alignment/>
      <protection/>
    </xf>
    <xf numFmtId="178" fontId="29" fillId="36" borderId="35" xfId="105" applyNumberFormat="1" applyFont="1" applyFill="1" applyBorder="1" applyAlignment="1">
      <alignment horizontal="center"/>
    </xf>
    <xf numFmtId="0" fontId="16" fillId="0" borderId="44" xfId="17" applyFont="1" applyBorder="1" applyAlignment="1">
      <alignment/>
    </xf>
    <xf numFmtId="10" fontId="16" fillId="0" borderId="6" xfId="17" applyNumberFormat="1" applyFont="1" applyBorder="1" applyAlignment="1">
      <alignment horizontal="center"/>
    </xf>
    <xf numFmtId="43" fontId="54" fillId="36" borderId="6" xfId="51" applyFont="1" applyFill="1" applyBorder="1" applyAlignment="1" applyProtection="1">
      <alignment/>
      <protection hidden="1"/>
    </xf>
    <xf numFmtId="43" fontId="54" fillId="36" borderId="0" xfId="51" applyFont="1" applyFill="1" applyAlignment="1" applyProtection="1">
      <alignment/>
      <protection hidden="1"/>
    </xf>
    <xf numFmtId="43" fontId="54" fillId="36" borderId="0" xfId="51" applyFont="1" applyFill="1" applyAlignment="1" applyProtection="1">
      <alignment shrinkToFit="1"/>
      <protection hidden="1"/>
    </xf>
    <xf numFmtId="43" fontId="17" fillId="0" borderId="6" xfId="51" applyNumberFormat="1" applyFont="1" applyFill="1" applyBorder="1" applyAlignment="1">
      <alignment/>
    </xf>
    <xf numFmtId="43" fontId="17" fillId="0" borderId="21" xfId="51" applyNumberFormat="1" applyFont="1" applyFill="1" applyBorder="1" applyAlignment="1">
      <alignment/>
    </xf>
    <xf numFmtId="43" fontId="17" fillId="0" borderId="23" xfId="51" applyNumberFormat="1" applyFont="1" applyFill="1" applyBorder="1" applyAlignment="1">
      <alignment/>
    </xf>
    <xf numFmtId="43" fontId="17" fillId="0" borderId="24" xfId="51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24" fillId="36" borderId="6" xfId="0" applyNumberFormat="1" applyFont="1" applyFill="1" applyBorder="1" applyAlignment="1" applyProtection="1">
      <alignment horizontal="center" shrinkToFit="1"/>
      <protection hidden="1"/>
    </xf>
    <xf numFmtId="0" fontId="0" fillId="0" borderId="22" xfId="0" applyFont="1" applyBorder="1" applyAlignment="1">
      <alignment/>
    </xf>
    <xf numFmtId="0" fontId="16" fillId="36" borderId="25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6" borderId="22" xfId="0" applyFont="1" applyFill="1" applyBorder="1" applyAlignment="1" applyProtection="1">
      <alignment/>
      <protection hidden="1"/>
    </xf>
    <xf numFmtId="0" fontId="17" fillId="36" borderId="22" xfId="0" applyFont="1" applyFill="1" applyBorder="1" applyAlignment="1" applyProtection="1">
      <alignment/>
      <protection hidden="1"/>
    </xf>
    <xf numFmtId="0" fontId="16" fillId="36" borderId="28" xfId="0" applyFont="1" applyFill="1" applyBorder="1" applyAlignment="1" applyProtection="1">
      <alignment/>
      <protection hidden="1"/>
    </xf>
    <xf numFmtId="0" fontId="17" fillId="36" borderId="16" xfId="0" applyFont="1" applyFill="1" applyBorder="1" applyAlignment="1" applyProtection="1">
      <alignment horizontal="left"/>
      <protection hidden="1"/>
    </xf>
    <xf numFmtId="0" fontId="16" fillId="36" borderId="17" xfId="0" applyFont="1" applyFill="1" applyBorder="1" applyAlignment="1" applyProtection="1">
      <alignment/>
      <protection hidden="1"/>
    </xf>
    <xf numFmtId="0" fontId="16" fillId="36" borderId="17" xfId="0" applyFont="1" applyFill="1" applyBorder="1" applyAlignment="1" applyProtection="1">
      <alignment shrinkToFit="1"/>
      <protection hidden="1"/>
    </xf>
    <xf numFmtId="0" fontId="16" fillId="36" borderId="19" xfId="0" applyFont="1" applyFill="1" applyBorder="1" applyAlignment="1" applyProtection="1">
      <alignment shrinkToFit="1"/>
      <protection hidden="1"/>
    </xf>
    <xf numFmtId="0" fontId="0" fillId="36" borderId="0" xfId="0" applyFont="1" applyFill="1" applyAlignment="1">
      <alignment shrinkToFit="1"/>
    </xf>
    <xf numFmtId="0" fontId="0" fillId="36" borderId="0" xfId="0" applyFont="1" applyFill="1" applyAlignment="1">
      <alignment/>
    </xf>
    <xf numFmtId="0" fontId="17" fillId="36" borderId="18" xfId="0" applyFont="1" applyFill="1" applyBorder="1" applyAlignment="1" applyProtection="1">
      <alignment horizontal="left"/>
      <protection hidden="1"/>
    </xf>
    <xf numFmtId="0" fontId="16" fillId="36" borderId="0" xfId="0" applyFont="1" applyFill="1" applyBorder="1" applyAlignment="1" applyProtection="1">
      <alignment shrinkToFit="1"/>
      <protection hidden="1"/>
    </xf>
    <xf numFmtId="0" fontId="16" fillId="36" borderId="20" xfId="0" applyFont="1" applyFill="1" applyBorder="1" applyAlignment="1" applyProtection="1">
      <alignment shrinkToFit="1"/>
      <protection hidden="1"/>
    </xf>
    <xf numFmtId="0" fontId="16" fillId="36" borderId="18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right" shrinkToFit="1"/>
      <protection hidden="1"/>
    </xf>
    <xf numFmtId="0" fontId="17" fillId="36" borderId="0" xfId="0" applyFont="1" applyFill="1" applyBorder="1" applyAlignment="1" applyProtection="1">
      <alignment shrinkToFit="1"/>
      <protection hidden="1"/>
    </xf>
    <xf numFmtId="0" fontId="0" fillId="36" borderId="45" xfId="0" applyFont="1" applyFill="1" applyBorder="1" applyAlignment="1">
      <alignment shrinkToFit="1"/>
    </xf>
    <xf numFmtId="0" fontId="16" fillId="36" borderId="6" xfId="0" applyFont="1" applyFill="1" applyBorder="1" applyAlignment="1" applyProtection="1">
      <alignment/>
      <protection hidden="1"/>
    </xf>
    <xf numFmtId="0" fontId="17" fillId="36" borderId="22" xfId="0" applyFont="1" applyFill="1" applyBorder="1" applyAlignment="1" applyProtection="1">
      <alignment horizontal="center"/>
      <protection hidden="1"/>
    </xf>
    <xf numFmtId="0" fontId="17" fillId="36" borderId="6" xfId="0" applyFont="1" applyFill="1" applyBorder="1" applyAlignment="1" applyProtection="1">
      <alignment/>
      <protection hidden="1"/>
    </xf>
    <xf numFmtId="0" fontId="16" fillId="36" borderId="6" xfId="0" applyFont="1" applyFill="1" applyBorder="1" applyAlignment="1" applyProtection="1">
      <alignment shrinkToFit="1"/>
      <protection hidden="1"/>
    </xf>
    <xf numFmtId="43" fontId="16" fillId="36" borderId="6" xfId="0" applyNumberFormat="1" applyFont="1" applyFill="1" applyBorder="1" applyAlignment="1" applyProtection="1">
      <alignment shrinkToFit="1"/>
      <protection hidden="1"/>
    </xf>
    <xf numFmtId="43" fontId="17" fillId="36" borderId="6" xfId="0" applyNumberFormat="1" applyFont="1" applyFill="1" applyBorder="1" applyAlignment="1" applyProtection="1">
      <alignment shrinkToFit="1"/>
      <protection hidden="1"/>
    </xf>
    <xf numFmtId="43" fontId="17" fillId="36" borderId="6" xfId="51" applyFont="1" applyFill="1" applyBorder="1" applyAlignment="1" applyProtection="1">
      <alignment shrinkToFit="1"/>
      <protection hidden="1"/>
    </xf>
    <xf numFmtId="43" fontId="16" fillId="36" borderId="0" xfId="0" applyNumberFormat="1" applyFont="1" applyFill="1" applyBorder="1" applyAlignment="1" applyProtection="1">
      <alignment shrinkToFit="1"/>
      <protection hidden="1"/>
    </xf>
    <xf numFmtId="0" fontId="17" fillId="36" borderId="6" xfId="0" applyFont="1" applyFill="1" applyBorder="1" applyAlignment="1" applyProtection="1">
      <alignment horizontal="center" shrinkToFit="1"/>
      <protection hidden="1"/>
    </xf>
    <xf numFmtId="0" fontId="16" fillId="36" borderId="46" xfId="0" applyFont="1" applyFill="1" applyBorder="1" applyAlignment="1" applyProtection="1">
      <alignment/>
      <protection hidden="1"/>
    </xf>
    <xf numFmtId="0" fontId="16" fillId="36" borderId="47" xfId="0" applyFont="1" applyFill="1" applyBorder="1" applyAlignment="1" applyProtection="1">
      <alignment/>
      <protection hidden="1"/>
    </xf>
    <xf numFmtId="0" fontId="16" fillId="36" borderId="47" xfId="0" applyFont="1" applyFill="1" applyBorder="1" applyAlignment="1" applyProtection="1">
      <alignment shrinkToFit="1"/>
      <protection hidden="1"/>
    </xf>
    <xf numFmtId="0" fontId="16" fillId="36" borderId="48" xfId="0" applyFont="1" applyFill="1" applyBorder="1" applyAlignment="1" applyProtection="1">
      <alignment shrinkToFit="1"/>
      <protection hidden="1"/>
    </xf>
    <xf numFmtId="0" fontId="55" fillId="36" borderId="6" xfId="0" applyFont="1" applyFill="1" applyBorder="1" applyAlignment="1" applyProtection="1">
      <alignment/>
      <protection hidden="1"/>
    </xf>
    <xf numFmtId="0" fontId="17" fillId="36" borderId="6" xfId="0" applyFont="1" applyFill="1" applyBorder="1" applyAlignment="1" applyProtection="1">
      <alignment horizontal="center"/>
      <protection hidden="1"/>
    </xf>
    <xf numFmtId="0" fontId="55" fillId="36" borderId="6" xfId="0" applyFont="1" applyFill="1" applyBorder="1" applyAlignment="1" applyProtection="1">
      <alignment horizontal="left"/>
      <protection hidden="1"/>
    </xf>
    <xf numFmtId="0" fontId="16" fillId="36" borderId="0" xfId="0" applyFont="1" applyFill="1" applyAlignment="1" applyProtection="1">
      <alignment shrinkToFit="1"/>
      <protection hidden="1"/>
    </xf>
    <xf numFmtId="0" fontId="24" fillId="36" borderId="6" xfId="0" applyNumberFormat="1" applyFont="1" applyFill="1" applyBorder="1" applyAlignment="1" applyProtection="1">
      <alignment horizontal="center"/>
      <protection hidden="1"/>
    </xf>
    <xf numFmtId="0" fontId="55" fillId="36" borderId="18" xfId="0" applyFont="1" applyFill="1" applyBorder="1" applyAlignment="1" applyProtection="1">
      <alignment/>
      <protection hidden="1"/>
    </xf>
    <xf numFmtId="0" fontId="16" fillId="36" borderId="0" xfId="0" applyFont="1" applyFill="1" applyBorder="1" applyAlignment="1" applyProtection="1">
      <alignment/>
      <protection hidden="1"/>
    </xf>
    <xf numFmtId="10" fontId="16" fillId="36" borderId="6" xfId="103" applyNumberFormat="1" applyFont="1" applyFill="1" applyBorder="1" applyAlignment="1" applyProtection="1">
      <alignment shrinkToFit="1"/>
      <protection hidden="1"/>
    </xf>
    <xf numFmtId="172" fontId="16" fillId="36" borderId="6" xfId="51" applyNumberFormat="1" applyFont="1" applyFill="1" applyBorder="1" applyAlignment="1" applyProtection="1">
      <alignment shrinkToFit="1"/>
      <protection hidden="1"/>
    </xf>
    <xf numFmtId="0" fontId="16" fillId="36" borderId="0" xfId="0" applyFont="1" applyFill="1" applyBorder="1" applyAlignment="1">
      <alignment shrinkToFit="1"/>
    </xf>
    <xf numFmtId="0" fontId="16" fillId="36" borderId="20" xfId="0" applyFont="1" applyFill="1" applyBorder="1" applyAlignment="1">
      <alignment shrinkToFit="1"/>
    </xf>
    <xf numFmtId="0" fontId="55" fillId="36" borderId="6" xfId="0" applyFont="1" applyFill="1" applyBorder="1" applyAlignment="1" applyProtection="1">
      <alignment horizontal="center" shrinkToFit="1"/>
      <protection hidden="1"/>
    </xf>
    <xf numFmtId="0" fontId="16" fillId="36" borderId="6" xfId="0" applyFont="1" applyFill="1" applyBorder="1" applyAlignment="1" applyProtection="1">
      <alignment horizontal="center" shrinkToFit="1"/>
      <protection hidden="1"/>
    </xf>
    <xf numFmtId="0" fontId="55" fillId="36" borderId="21" xfId="0" applyFont="1" applyFill="1" applyBorder="1" applyAlignment="1" applyProtection="1">
      <alignment horizontal="center" shrinkToFit="1"/>
      <protection hidden="1"/>
    </xf>
    <xf numFmtId="0" fontId="55" fillId="36" borderId="0" xfId="0" applyFont="1" applyFill="1" applyAlignment="1">
      <alignment horizontal="center"/>
    </xf>
    <xf numFmtId="0" fontId="55" fillId="36" borderId="22" xfId="0" applyFont="1" applyFill="1" applyBorder="1" applyAlignment="1" applyProtection="1">
      <alignment horizontal="center"/>
      <protection hidden="1"/>
    </xf>
    <xf numFmtId="0" fontId="16" fillId="36" borderId="0" xfId="0" applyFont="1" applyFill="1" applyAlignment="1">
      <alignment/>
    </xf>
    <xf numFmtId="43" fontId="16" fillId="36" borderId="6" xfId="51" applyNumberFormat="1" applyFont="1" applyFill="1" applyBorder="1" applyAlignment="1" applyProtection="1">
      <alignment shrinkToFit="1"/>
      <protection hidden="1"/>
    </xf>
    <xf numFmtId="43" fontId="16" fillId="36" borderId="21" xfId="51" applyNumberFormat="1" applyFont="1" applyFill="1" applyBorder="1" applyAlignment="1" applyProtection="1">
      <alignment shrinkToFit="1"/>
      <protection hidden="1"/>
    </xf>
    <xf numFmtId="43" fontId="16" fillId="36" borderId="23" xfId="51" applyNumberFormat="1" applyFont="1" applyFill="1" applyBorder="1" applyAlignment="1" applyProtection="1">
      <alignment shrinkToFit="1"/>
      <protection hidden="1"/>
    </xf>
    <xf numFmtId="43" fontId="16" fillId="36" borderId="47" xfId="0" applyNumberFormat="1" applyFont="1" applyFill="1" applyBorder="1" applyAlignment="1" applyProtection="1">
      <alignment shrinkToFit="1"/>
      <protection hidden="1"/>
    </xf>
    <xf numFmtId="43" fontId="16" fillId="36" borderId="24" xfId="51" applyNumberFormat="1" applyFont="1" applyFill="1" applyBorder="1" applyAlignment="1" applyProtection="1">
      <alignment shrinkToFit="1"/>
      <protection hidden="1"/>
    </xf>
    <xf numFmtId="43" fontId="16" fillId="36" borderId="26" xfId="51" applyNumberFormat="1" applyFont="1" applyFill="1" applyBorder="1" applyAlignment="1" applyProtection="1">
      <alignment shrinkToFit="1"/>
      <protection hidden="1"/>
    </xf>
    <xf numFmtId="43" fontId="16" fillId="36" borderId="26" xfId="0" applyNumberFormat="1" applyFont="1" applyFill="1" applyBorder="1" applyAlignment="1" applyProtection="1">
      <alignment shrinkToFit="1"/>
      <protection hidden="1"/>
    </xf>
    <xf numFmtId="43" fontId="16" fillId="36" borderId="14" xfId="51" applyNumberFormat="1" applyFont="1" applyFill="1" applyBorder="1" applyAlignment="1" applyProtection="1">
      <alignment shrinkToFit="1"/>
      <protection hidden="1"/>
    </xf>
    <xf numFmtId="43" fontId="16" fillId="36" borderId="14" xfId="0" applyNumberFormat="1" applyFont="1" applyFill="1" applyBorder="1" applyAlignment="1" applyProtection="1">
      <alignment shrinkToFit="1"/>
      <protection hidden="1"/>
    </xf>
    <xf numFmtId="43" fontId="16" fillId="36" borderId="49" xfId="51" applyNumberFormat="1" applyFont="1" applyFill="1" applyBorder="1" applyAlignment="1" applyProtection="1">
      <alignment shrinkToFit="1"/>
      <protection hidden="1"/>
    </xf>
    <xf numFmtId="176" fontId="16" fillId="36" borderId="6" xfId="0" applyNumberFormat="1" applyFont="1" applyFill="1" applyBorder="1" applyAlignment="1" applyProtection="1">
      <alignment horizontal="center" vertical="center"/>
      <protection hidden="1"/>
    </xf>
    <xf numFmtId="0" fontId="16" fillId="36" borderId="0" xfId="0" applyFont="1" applyFill="1" applyAlignment="1">
      <alignment horizontal="center" shrinkToFit="1"/>
    </xf>
    <xf numFmtId="43" fontId="16" fillId="36" borderId="0" xfId="51" applyFont="1" applyFill="1" applyAlignment="1">
      <alignment shrinkToFit="1"/>
    </xf>
    <xf numFmtId="0" fontId="16" fillId="36" borderId="0" xfId="0" applyFont="1" applyFill="1" applyAlignment="1">
      <alignment shrinkToFit="1"/>
    </xf>
    <xf numFmtId="0" fontId="16" fillId="36" borderId="17" xfId="0" applyFont="1" applyFill="1" applyBorder="1" applyAlignment="1" applyProtection="1">
      <alignment/>
      <protection hidden="1"/>
    </xf>
    <xf numFmtId="0" fontId="16" fillId="36" borderId="18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right"/>
      <protection hidden="1"/>
    </xf>
    <xf numFmtId="0" fontId="17" fillId="36" borderId="0" xfId="0" applyFont="1" applyFill="1" applyBorder="1" applyAlignment="1" applyProtection="1">
      <alignment horizontal="center"/>
      <protection hidden="1"/>
    </xf>
    <xf numFmtId="0" fontId="55" fillId="36" borderId="18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16" fillId="36" borderId="46" xfId="0" applyFont="1" applyFill="1" applyBorder="1" applyAlignment="1" applyProtection="1">
      <alignment shrinkToFit="1"/>
      <protection hidden="1"/>
    </xf>
    <xf numFmtId="0" fontId="17" fillId="36" borderId="47" xfId="0" applyFont="1" applyFill="1" applyBorder="1" applyAlignment="1" applyProtection="1">
      <alignment shrinkToFit="1"/>
      <protection hidden="1"/>
    </xf>
    <xf numFmtId="43" fontId="17" fillId="36" borderId="47" xfId="51" applyNumberFormat="1" applyFont="1" applyFill="1" applyBorder="1" applyAlignment="1" applyProtection="1">
      <alignment shrinkToFit="1"/>
      <protection hidden="1"/>
    </xf>
    <xf numFmtId="43" fontId="17" fillId="36" borderId="47" xfId="51" applyFont="1" applyFill="1" applyBorder="1" applyAlignment="1" applyProtection="1">
      <alignment shrinkToFit="1"/>
      <protection hidden="1"/>
    </xf>
    <xf numFmtId="1" fontId="16" fillId="0" borderId="26" xfId="17" applyNumberFormat="1" applyFont="1" applyBorder="1" applyAlignment="1">
      <alignment horizontal="center"/>
    </xf>
    <xf numFmtId="174" fontId="0" fillId="36" borderId="6" xfId="0" applyNumberFormat="1" applyFont="1" applyFill="1" applyBorder="1" applyAlignment="1">
      <alignment shrinkToFit="1"/>
    </xf>
    <xf numFmtId="1" fontId="16" fillId="0" borderId="6" xfId="17" applyNumberFormat="1" applyFont="1" applyBorder="1" applyAlignment="1">
      <alignment horizontal="right"/>
    </xf>
    <xf numFmtId="174" fontId="16" fillId="0" borderId="6" xfId="17" applyNumberFormat="1" applyFont="1" applyBorder="1" applyAlignment="1">
      <alignment horizontal="right"/>
    </xf>
    <xf numFmtId="1" fontId="16" fillId="0" borderId="23" xfId="17" applyNumberFormat="1" applyFont="1" applyBorder="1" applyAlignment="1">
      <alignment horizontal="right"/>
    </xf>
    <xf numFmtId="0" fontId="17" fillId="36" borderId="16" xfId="0" applyFont="1" applyFill="1" applyBorder="1" applyAlignment="1" applyProtection="1">
      <alignment/>
      <protection hidden="1"/>
    </xf>
    <xf numFmtId="0" fontId="17" fillId="36" borderId="18" xfId="0" applyFont="1" applyFill="1" applyBorder="1" applyAlignment="1" applyProtection="1">
      <alignment/>
      <protection hidden="1"/>
    </xf>
    <xf numFmtId="0" fontId="24" fillId="36" borderId="6" xfId="0" applyFont="1" applyFill="1" applyBorder="1" applyAlignment="1" applyProtection="1">
      <alignment horizontal="center"/>
      <protection hidden="1"/>
    </xf>
    <xf numFmtId="0" fontId="24" fillId="36" borderId="21" xfId="0" applyNumberFormat="1" applyFont="1" applyFill="1" applyBorder="1" applyAlignment="1" applyProtection="1">
      <alignment horizontal="center"/>
      <protection hidden="1"/>
    </xf>
    <xf numFmtId="0" fontId="16" fillId="36" borderId="22" xfId="0" applyFont="1" applyFill="1" applyBorder="1" applyAlignment="1" applyProtection="1">
      <alignment horizontal="center"/>
      <protection hidden="1"/>
    </xf>
    <xf numFmtId="0" fontId="16" fillId="36" borderId="6" xfId="0" applyFont="1" applyFill="1" applyBorder="1" applyAlignment="1" applyProtection="1">
      <alignment horizontal="center"/>
      <protection hidden="1"/>
    </xf>
    <xf numFmtId="175" fontId="16" fillId="36" borderId="6" xfId="51" applyNumberFormat="1" applyFont="1" applyFill="1" applyBorder="1" applyAlignment="1" applyProtection="1">
      <alignment shrinkToFit="1"/>
      <protection hidden="1"/>
    </xf>
    <xf numFmtId="175" fontId="16" fillId="36" borderId="21" xfId="51" applyNumberFormat="1" applyFont="1" applyFill="1" applyBorder="1" applyAlignment="1" applyProtection="1">
      <alignment shrinkToFit="1"/>
      <protection hidden="1"/>
    </xf>
    <xf numFmtId="43" fontId="16" fillId="36" borderId="6" xfId="51" applyNumberFormat="1" applyFont="1" applyFill="1" applyBorder="1" applyAlignment="1" applyProtection="1">
      <alignment/>
      <protection hidden="1"/>
    </xf>
    <xf numFmtId="43" fontId="16" fillId="36" borderId="21" xfId="0" applyNumberFormat="1" applyFont="1" applyFill="1" applyBorder="1" applyAlignment="1" applyProtection="1">
      <alignment shrinkToFit="1"/>
      <protection hidden="1"/>
    </xf>
    <xf numFmtId="43" fontId="17" fillId="36" borderId="21" xfId="0" applyNumberFormat="1" applyFont="1" applyFill="1" applyBorder="1" applyAlignment="1" applyProtection="1">
      <alignment shrinkToFit="1"/>
      <protection hidden="1"/>
    </xf>
    <xf numFmtId="43" fontId="17" fillId="36" borderId="6" xfId="51" applyNumberFormat="1" applyFont="1" applyFill="1" applyBorder="1" applyAlignment="1" applyProtection="1">
      <alignment/>
      <protection hidden="1"/>
    </xf>
    <xf numFmtId="172" fontId="16" fillId="36" borderId="6" xfId="0" applyNumberFormat="1" applyFont="1" applyFill="1" applyBorder="1" applyAlignment="1" applyProtection="1">
      <alignment shrinkToFit="1"/>
      <protection hidden="1"/>
    </xf>
    <xf numFmtId="172" fontId="16" fillId="36" borderId="21" xfId="0" applyNumberFormat="1" applyFont="1" applyFill="1" applyBorder="1" applyAlignment="1" applyProtection="1">
      <alignment shrinkToFit="1"/>
      <protection hidden="1"/>
    </xf>
    <xf numFmtId="172" fontId="16" fillId="36" borderId="47" xfId="51" applyNumberFormat="1" applyFont="1" applyFill="1" applyBorder="1" applyAlignment="1" applyProtection="1">
      <alignment/>
      <protection hidden="1"/>
    </xf>
    <xf numFmtId="172" fontId="16" fillId="36" borderId="0" xfId="51" applyNumberFormat="1" applyFont="1" applyFill="1" applyAlignment="1" applyProtection="1">
      <alignment/>
      <protection hidden="1"/>
    </xf>
    <xf numFmtId="0" fontId="0" fillId="36" borderId="17" xfId="0" applyFont="1" applyFill="1" applyBorder="1" applyAlignment="1" applyProtection="1">
      <alignment shrinkToFit="1"/>
      <protection hidden="1"/>
    </xf>
    <xf numFmtId="0" fontId="0" fillId="36" borderId="19" xfId="0" applyFont="1" applyFill="1" applyBorder="1" applyAlignment="1" applyProtection="1">
      <alignment shrinkToFit="1"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 shrinkToFit="1"/>
      <protection hidden="1"/>
    </xf>
    <xf numFmtId="0" fontId="0" fillId="36" borderId="20" xfId="0" applyFont="1" applyFill="1" applyBorder="1" applyAlignment="1" applyProtection="1">
      <alignment shrinkToFit="1"/>
      <protection hidden="1"/>
    </xf>
    <xf numFmtId="0" fontId="0" fillId="36" borderId="45" xfId="0" applyFont="1" applyFill="1" applyBorder="1" applyAlignment="1" applyProtection="1">
      <alignment shrinkToFit="1"/>
      <protection hidden="1"/>
    </xf>
    <xf numFmtId="0" fontId="17" fillId="36" borderId="6" xfId="0" applyFont="1" applyFill="1" applyBorder="1" applyAlignment="1" applyProtection="1">
      <alignment shrinkToFit="1"/>
      <protection hidden="1"/>
    </xf>
    <xf numFmtId="0" fontId="24" fillId="36" borderId="21" xfId="0" applyNumberFormat="1" applyFont="1" applyFill="1" applyBorder="1" applyAlignment="1" applyProtection="1">
      <alignment horizontal="center" shrinkToFit="1"/>
      <protection hidden="1"/>
    </xf>
    <xf numFmtId="43" fontId="0" fillId="36" borderId="6" xfId="0" applyNumberFormat="1" applyFont="1" applyFill="1" applyBorder="1" applyAlignment="1" applyProtection="1">
      <alignment shrinkToFit="1"/>
      <protection hidden="1"/>
    </xf>
    <xf numFmtId="43" fontId="0" fillId="36" borderId="21" xfId="0" applyNumberFormat="1" applyFont="1" applyFill="1" applyBorder="1" applyAlignment="1" applyProtection="1">
      <alignment shrinkToFit="1"/>
      <protection hidden="1"/>
    </xf>
    <xf numFmtId="43" fontId="17" fillId="36" borderId="6" xfId="51" applyNumberFormat="1" applyFont="1" applyFill="1" applyBorder="1" applyAlignment="1" applyProtection="1">
      <alignment shrinkToFit="1"/>
      <protection hidden="1"/>
    </xf>
    <xf numFmtId="43" fontId="17" fillId="36" borderId="21" xfId="51" applyNumberFormat="1" applyFont="1" applyFill="1" applyBorder="1" applyAlignment="1" applyProtection="1">
      <alignment shrinkToFit="1"/>
      <protection hidden="1"/>
    </xf>
    <xf numFmtId="0" fontId="16" fillId="36" borderId="23" xfId="0" applyFont="1" applyFill="1" applyBorder="1" applyAlignment="1" applyProtection="1">
      <alignment/>
      <protection hidden="1"/>
    </xf>
    <xf numFmtId="43" fontId="16" fillId="36" borderId="23" xfId="51" applyFont="1" applyFill="1" applyBorder="1" applyAlignment="1" applyProtection="1">
      <alignment shrinkToFit="1"/>
      <protection hidden="1"/>
    </xf>
    <xf numFmtId="0" fontId="0" fillId="36" borderId="23" xfId="0" applyFont="1" applyFill="1" applyBorder="1" applyAlignment="1" applyProtection="1">
      <alignment shrinkToFit="1"/>
      <protection hidden="1"/>
    </xf>
    <xf numFmtId="0" fontId="0" fillId="36" borderId="24" xfId="0" applyFont="1" applyFill="1" applyBorder="1" applyAlignment="1" applyProtection="1">
      <alignment shrinkToFit="1"/>
      <protection hidden="1"/>
    </xf>
    <xf numFmtId="0" fontId="0" fillId="36" borderId="0" xfId="0" applyFont="1" applyFill="1" applyAlignment="1" applyProtection="1">
      <alignment shrinkToFit="1"/>
      <protection hidden="1"/>
    </xf>
    <xf numFmtId="0" fontId="20" fillId="36" borderId="0" xfId="0" applyFont="1" applyFill="1" applyAlignment="1" applyProtection="1">
      <alignment/>
      <protection hidden="1"/>
    </xf>
    <xf numFmtId="1" fontId="17" fillId="0" borderId="6" xfId="17" applyNumberFormat="1" applyFont="1" applyFill="1" applyBorder="1" applyAlignment="1">
      <alignment horizontal="center"/>
    </xf>
    <xf numFmtId="1" fontId="17" fillId="0" borderId="21" xfId="17" applyNumberFormat="1" applyFont="1" applyFill="1" applyBorder="1" applyAlignment="1">
      <alignment horizontal="center"/>
    </xf>
    <xf numFmtId="0" fontId="17" fillId="36" borderId="0" xfId="0" applyFont="1" applyFill="1" applyBorder="1" applyAlignment="1" applyProtection="1">
      <alignment horizontal="left" shrinkToFit="1"/>
      <protection hidden="1"/>
    </xf>
    <xf numFmtId="43" fontId="17" fillId="36" borderId="0" xfId="51" applyFont="1" applyFill="1" applyBorder="1" applyAlignment="1" applyProtection="1">
      <alignment shrinkToFit="1"/>
      <protection hidden="1"/>
    </xf>
    <xf numFmtId="0" fontId="17" fillId="36" borderId="0" xfId="0" applyFont="1" applyFill="1" applyAlignment="1" applyProtection="1">
      <alignment/>
      <protection hidden="1"/>
    </xf>
    <xf numFmtId="0" fontId="17" fillId="36" borderId="21" xfId="0" applyFont="1" applyFill="1" applyBorder="1" applyAlignment="1" applyProtection="1">
      <alignment horizontal="center" shrinkToFit="1"/>
      <protection hidden="1"/>
    </xf>
    <xf numFmtId="0" fontId="16" fillId="36" borderId="21" xfId="0" applyFont="1" applyFill="1" applyBorder="1" applyAlignment="1" applyProtection="1">
      <alignment shrinkToFit="1"/>
      <protection hidden="1"/>
    </xf>
    <xf numFmtId="0" fontId="17" fillId="36" borderId="14" xfId="0" applyFont="1" applyFill="1" applyBorder="1" applyAlignment="1" applyProtection="1">
      <alignment/>
      <protection hidden="1"/>
    </xf>
    <xf numFmtId="43" fontId="17" fillId="36" borderId="14" xfId="0" applyNumberFormat="1" applyFont="1" applyFill="1" applyBorder="1" applyAlignment="1" applyProtection="1">
      <alignment shrinkToFit="1"/>
      <protection hidden="1"/>
    </xf>
    <xf numFmtId="43" fontId="17" fillId="36" borderId="0" xfId="51" applyFont="1" applyFill="1" applyAlignment="1" applyProtection="1">
      <alignment/>
      <protection hidden="1"/>
    </xf>
    <xf numFmtId="43" fontId="17" fillId="36" borderId="6" xfId="51" applyFont="1" applyFill="1" applyBorder="1" applyAlignment="1" applyProtection="1">
      <alignment/>
      <protection hidden="1"/>
    </xf>
    <xf numFmtId="43" fontId="16" fillId="36" borderId="0" xfId="0" applyNumberFormat="1" applyFont="1" applyFill="1" applyAlignment="1" applyProtection="1">
      <alignment shrinkToFit="1"/>
      <protection hidden="1"/>
    </xf>
    <xf numFmtId="0" fontId="17" fillId="36" borderId="50" xfId="0" applyFont="1" applyFill="1" applyBorder="1" applyAlignment="1" applyProtection="1">
      <alignment horizontal="center"/>
      <protection hidden="1"/>
    </xf>
    <xf numFmtId="0" fontId="17" fillId="36" borderId="25" xfId="0" applyFont="1" applyFill="1" applyBorder="1" applyAlignment="1" applyProtection="1">
      <alignment/>
      <protection hidden="1"/>
    </xf>
    <xf numFmtId="0" fontId="16" fillId="36" borderId="51" xfId="0" applyFont="1" applyFill="1" applyBorder="1" applyAlignment="1" applyProtection="1">
      <alignment/>
      <protection hidden="1"/>
    </xf>
    <xf numFmtId="0" fontId="16" fillId="36" borderId="52" xfId="0" applyFont="1" applyFill="1" applyBorder="1" applyAlignment="1" applyProtection="1">
      <alignment/>
      <protection hidden="1"/>
    </xf>
    <xf numFmtId="0" fontId="16" fillId="36" borderId="23" xfId="0" applyFont="1" applyFill="1" applyBorder="1" applyAlignment="1" applyProtection="1">
      <alignment shrinkToFit="1"/>
      <protection hidden="1"/>
    </xf>
    <xf numFmtId="0" fontId="16" fillId="36" borderId="24" xfId="0" applyFont="1" applyFill="1" applyBorder="1" applyAlignment="1" applyProtection="1">
      <alignment shrinkToFit="1"/>
      <protection hidden="1"/>
    </xf>
    <xf numFmtId="2" fontId="16" fillId="36" borderId="6" xfId="0" applyNumberFormat="1" applyFont="1" applyFill="1" applyBorder="1" applyAlignment="1" applyProtection="1">
      <alignment shrinkToFit="1"/>
      <protection hidden="1"/>
    </xf>
    <xf numFmtId="171" fontId="16" fillId="36" borderId="6" xfId="0" applyNumberFormat="1" applyFont="1" applyFill="1" applyBorder="1" applyAlignment="1" applyProtection="1">
      <alignment shrinkToFit="1"/>
      <protection hidden="1"/>
    </xf>
    <xf numFmtId="43" fontId="17" fillId="36" borderId="53" xfId="51" applyFont="1" applyFill="1" applyBorder="1" applyAlignment="1" applyProtection="1">
      <alignment shrinkToFit="1"/>
      <protection hidden="1"/>
    </xf>
    <xf numFmtId="0" fontId="16" fillId="36" borderId="0" xfId="0" applyFont="1" applyFill="1" applyBorder="1" applyAlignment="1" applyProtection="1">
      <alignment horizontal="right" shrinkToFit="1"/>
      <protection hidden="1"/>
    </xf>
    <xf numFmtId="0" fontId="16" fillId="36" borderId="6" xfId="0" applyFont="1" applyFill="1" applyBorder="1" applyAlignment="1" applyProtection="1" quotePrefix="1">
      <alignment/>
      <protection hidden="1"/>
    </xf>
    <xf numFmtId="1" fontId="16" fillId="36" borderId="6" xfId="0" applyNumberFormat="1" applyFont="1" applyFill="1" applyBorder="1" applyAlignment="1" applyProtection="1">
      <alignment shrinkToFit="1"/>
      <protection hidden="1"/>
    </xf>
    <xf numFmtId="43" fontId="16" fillId="36" borderId="6" xfId="51" applyFont="1" applyFill="1" applyBorder="1" applyAlignment="1" applyProtection="1">
      <alignment shrinkToFit="1"/>
      <protection hidden="1"/>
    </xf>
    <xf numFmtId="43" fontId="0" fillId="36" borderId="0" xfId="0" applyNumberFormat="1" applyFont="1" applyFill="1" applyBorder="1" applyAlignment="1" applyProtection="1">
      <alignment shrinkToFit="1"/>
      <protection hidden="1"/>
    </xf>
    <xf numFmtId="171" fontId="0" fillId="36" borderId="0" xfId="0" applyNumberFormat="1" applyFont="1" applyFill="1" applyBorder="1" applyAlignment="1" applyProtection="1">
      <alignment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172" fontId="24" fillId="36" borderId="6" xfId="51" applyNumberFormat="1" applyFont="1" applyFill="1" applyBorder="1" applyAlignment="1" applyProtection="1">
      <alignment shrinkToFit="1"/>
      <protection hidden="1"/>
    </xf>
    <xf numFmtId="0" fontId="0" fillId="36" borderId="19" xfId="0" applyFont="1" applyFill="1" applyBorder="1" applyAlignment="1" applyProtection="1">
      <alignment/>
      <protection hidden="1"/>
    </xf>
    <xf numFmtId="0" fontId="17" fillId="36" borderId="46" xfId="0" applyFont="1" applyFill="1" applyBorder="1" applyAlignment="1" applyProtection="1">
      <alignment horizontal="left"/>
      <protection hidden="1"/>
    </xf>
    <xf numFmtId="0" fontId="0" fillId="36" borderId="48" xfId="0" applyFont="1" applyFill="1" applyBorder="1" applyAlignment="1" applyProtection="1">
      <alignment/>
      <protection hidden="1"/>
    </xf>
    <xf numFmtId="0" fontId="0" fillId="36" borderId="20" xfId="0" applyFont="1" applyFill="1" applyBorder="1" applyAlignment="1" applyProtection="1">
      <alignment/>
      <protection hidden="1"/>
    </xf>
    <xf numFmtId="0" fontId="16" fillId="36" borderId="0" xfId="0" applyFont="1" applyFill="1" applyBorder="1" applyAlignment="1" applyProtection="1">
      <alignment horizontal="right"/>
      <protection hidden="1"/>
    </xf>
    <xf numFmtId="172" fontId="16" fillId="36" borderId="0" xfId="51" applyNumberFormat="1" applyFont="1" applyFill="1" applyBorder="1" applyAlignment="1" applyProtection="1">
      <alignment horizontal="left" shrinkToFit="1"/>
      <protection hidden="1"/>
    </xf>
    <xf numFmtId="172" fontId="16" fillId="36" borderId="6" xfId="51" applyNumberFormat="1" applyFont="1" applyFill="1" applyBorder="1" applyAlignment="1" applyProtection="1">
      <alignment/>
      <protection hidden="1"/>
    </xf>
    <xf numFmtId="1" fontId="16" fillId="41" borderId="6" xfId="0" applyNumberFormat="1" applyFont="1" applyFill="1" applyBorder="1" applyAlignment="1" applyProtection="1">
      <alignment horizontal="right" shrinkToFit="1"/>
      <protection locked="0"/>
    </xf>
    <xf numFmtId="172" fontId="17" fillId="36" borderId="6" xfId="51" applyNumberFormat="1" applyFont="1" applyFill="1" applyBorder="1" applyAlignment="1" applyProtection="1">
      <alignment horizontal="center"/>
      <protection hidden="1"/>
    </xf>
    <xf numFmtId="43" fontId="0" fillId="0" borderId="6" xfId="0" applyNumberFormat="1" applyFont="1" applyBorder="1" applyAlignment="1">
      <alignment/>
    </xf>
    <xf numFmtId="43" fontId="16" fillId="36" borderId="6" xfId="51" applyFont="1" applyFill="1" applyBorder="1" applyAlignment="1" applyProtection="1" quotePrefix="1">
      <alignment/>
      <protection hidden="1"/>
    </xf>
    <xf numFmtId="172" fontId="0" fillId="36" borderId="6" xfId="0" applyNumberFormat="1" applyFont="1" applyFill="1" applyBorder="1" applyAlignment="1" applyProtection="1">
      <alignment shrinkToFit="1"/>
      <protection hidden="1"/>
    </xf>
    <xf numFmtId="10" fontId="17" fillId="36" borderId="6" xfId="0" applyNumberFormat="1" applyFont="1" applyFill="1" applyBorder="1" applyAlignment="1" applyProtection="1">
      <alignment/>
      <protection hidden="1"/>
    </xf>
    <xf numFmtId="2" fontId="17" fillId="36" borderId="6" xfId="0" applyNumberFormat="1" applyFont="1" applyFill="1" applyBorder="1" applyAlignment="1" applyProtection="1">
      <alignment/>
      <protection hidden="1"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172" fontId="0" fillId="42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16" fillId="43" borderId="6" xfId="0" applyFont="1" applyFill="1" applyBorder="1" applyAlignment="1" applyProtection="1">
      <alignment/>
      <protection hidden="1"/>
    </xf>
    <xf numFmtId="172" fontId="16" fillId="43" borderId="6" xfId="51" applyNumberFormat="1" applyFont="1" applyFill="1" applyBorder="1" applyAlignment="1" applyProtection="1">
      <alignment shrinkToFit="1"/>
      <protection hidden="1"/>
    </xf>
    <xf numFmtId="2" fontId="16" fillId="43" borderId="6" xfId="0" applyNumberFormat="1" applyFont="1" applyFill="1" applyBorder="1" applyAlignment="1" applyProtection="1">
      <alignment/>
      <protection hidden="1"/>
    </xf>
    <xf numFmtId="172" fontId="16" fillId="36" borderId="0" xfId="51" applyNumberFormat="1" applyFont="1" applyFill="1" applyBorder="1" applyAlignment="1" applyProtection="1">
      <alignment/>
      <protection hidden="1"/>
    </xf>
    <xf numFmtId="0" fontId="103" fillId="0" borderId="0" xfId="0" applyFont="1" applyAlignment="1">
      <alignment/>
    </xf>
    <xf numFmtId="0" fontId="17" fillId="36" borderId="28" xfId="0" applyFont="1" applyFill="1" applyBorder="1" applyAlignment="1" applyProtection="1">
      <alignment/>
      <protection hidden="1"/>
    </xf>
    <xf numFmtId="172" fontId="17" fillId="36" borderId="23" xfId="51" applyNumberFormat="1" applyFont="1" applyFill="1" applyBorder="1" applyAlignment="1" applyProtection="1">
      <alignment/>
      <protection hidden="1"/>
    </xf>
    <xf numFmtId="43" fontId="17" fillId="36" borderId="23" xfId="0" applyNumberFormat="1" applyFont="1" applyFill="1" applyBorder="1" applyAlignment="1" applyProtection="1">
      <alignment shrinkToFit="1"/>
      <protection hidden="1"/>
    </xf>
    <xf numFmtId="0" fontId="16" fillId="42" borderId="53" xfId="0" applyFont="1" applyFill="1" applyBorder="1" applyAlignment="1" applyProtection="1">
      <alignment wrapText="1"/>
      <protection hidden="1"/>
    </xf>
    <xf numFmtId="0" fontId="17" fillId="36" borderId="26" xfId="0" applyFont="1" applyFill="1" applyBorder="1" applyAlignment="1" applyProtection="1">
      <alignment horizontal="center"/>
      <protection hidden="1"/>
    </xf>
    <xf numFmtId="0" fontId="24" fillId="36" borderId="26" xfId="0" applyNumberFormat="1" applyFont="1" applyFill="1" applyBorder="1" applyAlignment="1" applyProtection="1">
      <alignment horizontal="center" shrinkToFit="1"/>
      <protection hidden="1"/>
    </xf>
    <xf numFmtId="172" fontId="16" fillId="36" borderId="21" xfId="51" applyNumberFormat="1" applyFont="1" applyFill="1" applyBorder="1" applyAlignment="1" applyProtection="1">
      <alignment shrinkToFit="1"/>
      <protection hidden="1"/>
    </xf>
    <xf numFmtId="0" fontId="16" fillId="43" borderId="22" xfId="0" applyFont="1" applyFill="1" applyBorder="1" applyAlignment="1" applyProtection="1">
      <alignment/>
      <protection hidden="1"/>
    </xf>
    <xf numFmtId="0" fontId="0" fillId="0" borderId="21" xfId="0" applyFont="1" applyBorder="1" applyAlignment="1">
      <alignment/>
    </xf>
    <xf numFmtId="0" fontId="16" fillId="36" borderId="22" xfId="0" applyFont="1" applyFill="1" applyBorder="1" applyAlignment="1" applyProtection="1">
      <alignment wrapText="1"/>
      <protection hidden="1"/>
    </xf>
    <xf numFmtId="172" fontId="0" fillId="36" borderId="21" xfId="0" applyNumberFormat="1" applyFont="1" applyFill="1" applyBorder="1" applyAlignment="1" applyProtection="1">
      <alignment shrinkToFit="1"/>
      <protection hidden="1"/>
    </xf>
    <xf numFmtId="2" fontId="16" fillId="43" borderId="21" xfId="0" applyNumberFormat="1" applyFont="1" applyFill="1" applyBorder="1" applyAlignment="1" applyProtection="1">
      <alignment/>
      <protection hidden="1"/>
    </xf>
    <xf numFmtId="0" fontId="16" fillId="36" borderId="21" xfId="0" applyFont="1" applyFill="1" applyBorder="1" applyAlignment="1" applyProtection="1">
      <alignment/>
      <protection hidden="1"/>
    </xf>
    <xf numFmtId="190" fontId="0" fillId="0" borderId="6" xfId="0" applyNumberFormat="1" applyFont="1" applyBorder="1" applyAlignment="1">
      <alignment/>
    </xf>
    <xf numFmtId="0" fontId="17" fillId="44" borderId="28" xfId="0" applyFont="1" applyFill="1" applyBorder="1" applyAlignment="1" applyProtection="1">
      <alignment/>
      <protection hidden="1"/>
    </xf>
    <xf numFmtId="0" fontId="16" fillId="44" borderId="23" xfId="0" applyFont="1" applyFill="1" applyBorder="1" applyAlignment="1" applyProtection="1">
      <alignment/>
      <protection hidden="1"/>
    </xf>
    <xf numFmtId="171" fontId="16" fillId="44" borderId="23" xfId="0" applyNumberFormat="1" applyFont="1" applyFill="1" applyBorder="1" applyAlignment="1" applyProtection="1">
      <alignment/>
      <protection hidden="1"/>
    </xf>
    <xf numFmtId="0" fontId="17" fillId="36" borderId="54" xfId="0" applyFont="1" applyFill="1" applyBorder="1" applyAlignment="1" applyProtection="1">
      <alignment/>
      <protection hidden="1"/>
    </xf>
    <xf numFmtId="0" fontId="20" fillId="0" borderId="55" xfId="0" applyFont="1" applyBorder="1" applyAlignment="1">
      <alignment/>
    </xf>
    <xf numFmtId="171" fontId="17" fillId="36" borderId="55" xfId="0" applyNumberFormat="1" applyFont="1" applyFill="1" applyBorder="1" applyAlignment="1" applyProtection="1">
      <alignment/>
      <protection hidden="1"/>
    </xf>
    <xf numFmtId="171" fontId="17" fillId="36" borderId="56" xfId="0" applyNumberFormat="1" applyFont="1" applyFill="1" applyBorder="1" applyAlignment="1" applyProtection="1">
      <alignment/>
      <protection hidden="1"/>
    </xf>
    <xf numFmtId="0" fontId="17" fillId="36" borderId="26" xfId="0" applyFont="1" applyFill="1" applyBorder="1" applyAlignment="1" applyProtection="1">
      <alignment horizontal="center" shrinkToFit="1"/>
      <protection hidden="1"/>
    </xf>
    <xf numFmtId="0" fontId="17" fillId="36" borderId="27" xfId="0" applyFont="1" applyFill="1" applyBorder="1" applyAlignment="1" applyProtection="1">
      <alignment horizontal="center" shrinkToFit="1"/>
      <protection hidden="1"/>
    </xf>
    <xf numFmtId="172" fontId="16" fillId="36" borderId="22" xfId="51" applyNumberFormat="1" applyFont="1" applyFill="1" applyBorder="1" applyAlignment="1" applyProtection="1">
      <alignment/>
      <protection hidden="1"/>
    </xf>
    <xf numFmtId="43" fontId="0" fillId="0" borderId="21" xfId="0" applyNumberFormat="1" applyFont="1" applyBorder="1" applyAlignment="1">
      <alignment/>
    </xf>
    <xf numFmtId="0" fontId="17" fillId="36" borderId="23" xfId="0" applyFont="1" applyFill="1" applyBorder="1" applyAlignment="1" applyProtection="1">
      <alignment/>
      <protection hidden="1"/>
    </xf>
    <xf numFmtId="43" fontId="17" fillId="36" borderId="23" xfId="51" applyFont="1" applyFill="1" applyBorder="1" applyAlignment="1" applyProtection="1">
      <alignment shrinkToFit="1"/>
      <protection hidden="1"/>
    </xf>
    <xf numFmtId="43" fontId="17" fillId="36" borderId="24" xfId="51" applyNumberFormat="1" applyFont="1" applyFill="1" applyBorder="1" applyAlignment="1" applyProtection="1">
      <alignment shrinkToFit="1"/>
      <protection hidden="1"/>
    </xf>
    <xf numFmtId="9" fontId="0" fillId="0" borderId="6" xfId="0" applyNumberFormat="1" applyFont="1" applyBorder="1" applyAlignment="1">
      <alignment/>
    </xf>
    <xf numFmtId="2" fontId="16" fillId="44" borderId="23" xfId="0" applyNumberFormat="1" applyFont="1" applyFill="1" applyBorder="1" applyAlignment="1" applyProtection="1">
      <alignment/>
      <protection hidden="1"/>
    </xf>
    <xf numFmtId="2" fontId="16" fillId="44" borderId="24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43" fontId="16" fillId="43" borderId="6" xfId="51" applyNumberFormat="1" applyFont="1" applyFill="1" applyBorder="1" applyAlignment="1" applyProtection="1">
      <alignment shrinkToFit="1"/>
      <protection hidden="1"/>
    </xf>
    <xf numFmtId="43" fontId="16" fillId="43" borderId="21" xfId="51" applyNumberFormat="1" applyFont="1" applyFill="1" applyBorder="1" applyAlignment="1" applyProtection="1">
      <alignment shrinkToFit="1"/>
      <protection hidden="1"/>
    </xf>
    <xf numFmtId="0" fontId="0" fillId="0" borderId="0" xfId="92" applyFont="1">
      <alignment/>
      <protection/>
    </xf>
    <xf numFmtId="0" fontId="0" fillId="0" borderId="0" xfId="92" applyFont="1" applyAlignment="1">
      <alignment wrapText="1"/>
      <protection/>
    </xf>
    <xf numFmtId="0" fontId="16" fillId="36" borderId="0" xfId="0" applyFont="1" applyFill="1" applyAlignment="1" applyProtection="1">
      <alignment horizontal="center"/>
      <protection hidden="1"/>
    </xf>
    <xf numFmtId="2" fontId="16" fillId="0" borderId="6" xfId="17" applyNumberFormat="1" applyFont="1" applyBorder="1" applyAlignment="1">
      <alignment horizontal="right"/>
    </xf>
    <xf numFmtId="2" fontId="16" fillId="0" borderId="23" xfId="17" applyNumberFormat="1" applyFont="1" applyBorder="1" applyAlignment="1">
      <alignment horizontal="right"/>
    </xf>
    <xf numFmtId="0" fontId="16" fillId="36" borderId="1" xfId="0" applyNumberFormat="1" applyFont="1" applyFill="1" applyBorder="1" applyAlignment="1" applyProtection="1">
      <alignment wrapText="1"/>
      <protection hidden="1"/>
    </xf>
    <xf numFmtId="43" fontId="17" fillId="0" borderId="6" xfId="51" applyFont="1" applyFill="1" applyBorder="1" applyAlignment="1" applyProtection="1">
      <alignment/>
      <protection hidden="1"/>
    </xf>
    <xf numFmtId="43" fontId="17" fillId="0" borderId="6" xfId="51" applyFont="1" applyFill="1" applyBorder="1" applyAlignment="1" applyProtection="1">
      <alignment shrinkToFit="1"/>
      <protection hidden="1"/>
    </xf>
    <xf numFmtId="174" fontId="16" fillId="36" borderId="6" xfId="0" applyNumberFormat="1" applyFont="1" applyFill="1" applyBorder="1" applyAlignment="1" applyProtection="1">
      <alignment shrinkToFit="1"/>
      <protection hidden="1"/>
    </xf>
    <xf numFmtId="191" fontId="16" fillId="36" borderId="6" xfId="0" applyNumberFormat="1" applyFont="1" applyFill="1" applyBorder="1" applyAlignment="1" applyProtection="1">
      <alignment/>
      <protection hidden="1"/>
    </xf>
    <xf numFmtId="191" fontId="16" fillId="36" borderId="21" xfId="0" applyNumberFormat="1" applyFont="1" applyFill="1" applyBorder="1" applyAlignment="1" applyProtection="1">
      <alignment/>
      <protection hidden="1"/>
    </xf>
    <xf numFmtId="43" fontId="17" fillId="36" borderId="24" xfId="0" applyNumberFormat="1" applyFont="1" applyFill="1" applyBorder="1" applyAlignment="1" applyProtection="1">
      <alignment shrinkToFit="1"/>
      <protection hidden="1"/>
    </xf>
    <xf numFmtId="171" fontId="16" fillId="0" borderId="6" xfId="0" applyNumberFormat="1" applyFont="1" applyFill="1" applyBorder="1" applyAlignment="1" applyProtection="1">
      <alignment/>
      <protection hidden="1"/>
    </xf>
    <xf numFmtId="172" fontId="17" fillId="36" borderId="26" xfId="51" applyNumberFormat="1" applyFont="1" applyFill="1" applyBorder="1" applyAlignment="1" applyProtection="1">
      <alignment/>
      <protection hidden="1"/>
    </xf>
    <xf numFmtId="0" fontId="17" fillId="36" borderId="26" xfId="0" applyFont="1" applyFill="1" applyBorder="1" applyAlignment="1" applyProtection="1">
      <alignment shrinkToFit="1"/>
      <protection hidden="1"/>
    </xf>
    <xf numFmtId="0" fontId="17" fillId="36" borderId="27" xfId="0" applyFont="1" applyFill="1" applyBorder="1" applyAlignment="1" applyProtection="1">
      <alignment shrinkToFit="1"/>
      <protection hidden="1"/>
    </xf>
    <xf numFmtId="171" fontId="16" fillId="0" borderId="21" xfId="0" applyNumberFormat="1" applyFont="1" applyFill="1" applyBorder="1" applyAlignment="1" applyProtection="1">
      <alignment/>
      <protection hidden="1"/>
    </xf>
    <xf numFmtId="9" fontId="6" fillId="41" borderId="0" xfId="0" applyNumberFormat="1" applyFont="1" applyFill="1" applyBorder="1" applyAlignment="1" applyProtection="1">
      <alignment shrinkToFit="1"/>
      <protection locked="0"/>
    </xf>
    <xf numFmtId="9" fontId="6" fillId="41" borderId="0" xfId="51" applyNumberFormat="1" applyFont="1" applyFill="1" applyBorder="1" applyAlignment="1" applyProtection="1">
      <alignment shrinkToFit="1"/>
      <protection locked="0"/>
    </xf>
    <xf numFmtId="10" fontId="6" fillId="41" borderId="0" xfId="0" applyNumberFormat="1" applyFont="1" applyFill="1" applyBorder="1" applyAlignment="1" applyProtection="1">
      <alignment shrinkToFit="1"/>
      <protection locked="0"/>
    </xf>
    <xf numFmtId="172" fontId="6" fillId="41" borderId="0" xfId="51" applyNumberFormat="1" applyFont="1" applyFill="1" applyBorder="1" applyAlignment="1" applyProtection="1">
      <alignment shrinkToFit="1"/>
      <protection locked="0"/>
    </xf>
    <xf numFmtId="43" fontId="6" fillId="41" borderId="0" xfId="51" applyNumberFormat="1" applyFont="1" applyFill="1" applyBorder="1" applyAlignment="1" applyProtection="1">
      <alignment shrinkToFit="1"/>
      <protection locked="0"/>
    </xf>
    <xf numFmtId="173" fontId="6" fillId="41" borderId="0" xfId="51" applyNumberFormat="1" applyFont="1" applyFill="1" applyBorder="1" applyAlignment="1" applyProtection="1">
      <alignment shrinkToFit="1"/>
      <protection locked="0"/>
    </xf>
    <xf numFmtId="10" fontId="6" fillId="41" borderId="0" xfId="103" applyNumberFormat="1" applyFont="1" applyFill="1" applyBorder="1" applyAlignment="1" applyProtection="1">
      <alignment shrinkToFit="1"/>
      <protection locked="0"/>
    </xf>
    <xf numFmtId="10" fontId="9" fillId="41" borderId="0" xfId="103" applyNumberFormat="1" applyFont="1" applyFill="1" applyBorder="1" applyAlignment="1" applyProtection="1">
      <alignment shrinkToFit="1"/>
      <protection locked="0"/>
    </xf>
    <xf numFmtId="2" fontId="9" fillId="41" borderId="0" xfId="103" applyNumberFormat="1" applyFont="1" applyFill="1" applyBorder="1" applyAlignment="1" applyProtection="1">
      <alignment shrinkToFit="1"/>
      <protection locked="0"/>
    </xf>
    <xf numFmtId="172" fontId="9" fillId="41" borderId="0" xfId="51" applyNumberFormat="1" applyFont="1" applyFill="1" applyBorder="1" applyAlignment="1" applyProtection="1">
      <alignment shrinkToFit="1"/>
      <protection locked="0"/>
    </xf>
    <xf numFmtId="43" fontId="6" fillId="41" borderId="0" xfId="51" applyFont="1" applyFill="1" applyBorder="1" applyAlignment="1" applyProtection="1">
      <alignment shrinkToFit="1"/>
      <protection locked="0"/>
    </xf>
    <xf numFmtId="9" fontId="6" fillId="41" borderId="0" xfId="51" applyNumberFormat="1" applyFont="1" applyFill="1" applyBorder="1" applyAlignment="1" applyProtection="1">
      <alignment horizontal="right" shrinkToFit="1"/>
      <protection locked="0"/>
    </xf>
    <xf numFmtId="0" fontId="6" fillId="41" borderId="0" xfId="0" applyFont="1" applyFill="1" applyBorder="1" applyAlignment="1" applyProtection="1">
      <alignment shrinkToFit="1"/>
      <protection locked="0"/>
    </xf>
    <xf numFmtId="9" fontId="6" fillId="41" borderId="0" xfId="103" applyFont="1" applyFill="1" applyBorder="1" applyAlignment="1" applyProtection="1">
      <alignment horizontal="right" shrinkToFit="1"/>
      <protection locked="0"/>
    </xf>
    <xf numFmtId="10" fontId="6" fillId="41" borderId="0" xfId="103" applyNumberFormat="1" applyFont="1" applyFill="1" applyBorder="1" applyAlignment="1" applyProtection="1">
      <alignment horizontal="right" shrinkToFit="1"/>
      <protection locked="0"/>
    </xf>
    <xf numFmtId="0" fontId="6" fillId="41" borderId="0" xfId="0" applyFont="1" applyFill="1" applyBorder="1" applyAlignment="1" applyProtection="1">
      <alignment horizontal="right" shrinkToFit="1"/>
      <protection locked="0"/>
    </xf>
    <xf numFmtId="10" fontId="6" fillId="41" borderId="0" xfId="0" applyNumberFormat="1" applyFont="1" applyFill="1" applyBorder="1" applyAlignment="1" applyProtection="1">
      <alignment horizontal="right" shrinkToFit="1"/>
      <protection locked="0"/>
    </xf>
    <xf numFmtId="171" fontId="0" fillId="36" borderId="0" xfId="0" applyNumberFormat="1" applyFont="1" applyFill="1" applyAlignment="1" applyProtection="1">
      <alignment shrinkToFit="1"/>
      <protection hidden="1"/>
    </xf>
    <xf numFmtId="171" fontId="0" fillId="36" borderId="0" xfId="0" applyNumberFormat="1" applyFont="1" applyFill="1" applyAlignment="1" applyProtection="1">
      <alignment/>
      <protection hidden="1"/>
    </xf>
    <xf numFmtId="171" fontId="16" fillId="36" borderId="0" xfId="0" applyNumberFormat="1" applyFont="1" applyFill="1" applyBorder="1" applyAlignment="1" applyProtection="1">
      <alignment/>
      <protection hidden="1"/>
    </xf>
    <xf numFmtId="0" fontId="16" fillId="45" borderId="6" xfId="0" applyFont="1" applyFill="1" applyBorder="1" applyAlignment="1" applyProtection="1">
      <alignment/>
      <protection hidden="1"/>
    </xf>
    <xf numFmtId="0" fontId="16" fillId="45" borderId="6" xfId="0" applyFont="1" applyFill="1" applyBorder="1" applyAlignment="1" applyProtection="1" quotePrefix="1">
      <alignment/>
      <protection hidden="1"/>
    </xf>
    <xf numFmtId="1" fontId="16" fillId="45" borderId="6" xfId="0" applyNumberFormat="1" applyFont="1" applyFill="1" applyBorder="1" applyAlignment="1" applyProtection="1">
      <alignment shrinkToFit="1"/>
      <protection hidden="1"/>
    </xf>
    <xf numFmtId="172" fontId="16" fillId="36" borderId="53" xfId="51" applyNumberFormat="1" applyFont="1" applyFill="1" applyBorder="1" applyAlignment="1" applyProtection="1">
      <alignment shrinkToFit="1"/>
      <protection hidden="1"/>
    </xf>
    <xf numFmtId="0" fontId="17" fillId="36" borderId="57" xfId="0" applyFont="1" applyFill="1" applyBorder="1" applyAlignment="1" applyProtection="1">
      <alignment horizontal="left"/>
      <protection hidden="1"/>
    </xf>
    <xf numFmtId="43" fontId="16" fillId="36" borderId="2" xfId="51" applyFont="1" applyFill="1" applyBorder="1" applyAlignment="1" applyProtection="1">
      <alignment/>
      <protection hidden="1"/>
    </xf>
    <xf numFmtId="0" fontId="16" fillId="36" borderId="2" xfId="0" applyFont="1" applyFill="1" applyBorder="1" applyAlignment="1" applyProtection="1">
      <alignment/>
      <protection hidden="1"/>
    </xf>
    <xf numFmtId="0" fontId="16" fillId="36" borderId="2" xfId="0" applyFont="1" applyFill="1" applyBorder="1" applyAlignment="1" applyProtection="1">
      <alignment shrinkToFit="1"/>
      <protection hidden="1"/>
    </xf>
    <xf numFmtId="0" fontId="16" fillId="36" borderId="58" xfId="0" applyFont="1" applyFill="1" applyBorder="1" applyAlignment="1" applyProtection="1">
      <alignment shrinkToFit="1"/>
      <protection hidden="1"/>
    </xf>
    <xf numFmtId="0" fontId="17" fillId="36" borderId="59" xfId="0" applyFont="1" applyFill="1" applyBorder="1" applyAlignment="1" applyProtection="1">
      <alignment horizontal="left"/>
      <protection hidden="1"/>
    </xf>
    <xf numFmtId="0" fontId="16" fillId="36" borderId="13" xfId="0" applyFont="1" applyFill="1" applyBorder="1" applyAlignment="1" applyProtection="1">
      <alignment shrinkToFit="1"/>
      <protection hidden="1"/>
    </xf>
    <xf numFmtId="0" fontId="55" fillId="36" borderId="59" xfId="0" applyFont="1" applyFill="1" applyBorder="1" applyAlignment="1" applyProtection="1">
      <alignment/>
      <protection hidden="1"/>
    </xf>
    <xf numFmtId="172" fontId="16" fillId="36" borderId="13" xfId="51" applyNumberFormat="1" applyFont="1" applyFill="1" applyBorder="1" applyAlignment="1" applyProtection="1">
      <alignment horizontal="left" shrinkToFit="1"/>
      <protection hidden="1"/>
    </xf>
    <xf numFmtId="0" fontId="16" fillId="36" borderId="59" xfId="0" applyFont="1" applyFill="1" applyBorder="1" applyAlignment="1" applyProtection="1">
      <alignment/>
      <protection hidden="1"/>
    </xf>
    <xf numFmtId="0" fontId="0" fillId="36" borderId="59" xfId="0" applyFont="1" applyFill="1" applyBorder="1" applyAlignment="1" applyProtection="1">
      <alignment/>
      <protection hidden="1"/>
    </xf>
    <xf numFmtId="0" fontId="0" fillId="36" borderId="13" xfId="0" applyFont="1" applyFill="1" applyBorder="1" applyAlignment="1" applyProtection="1">
      <alignment shrinkToFit="1"/>
      <protection hidden="1"/>
    </xf>
    <xf numFmtId="43" fontId="0" fillId="36" borderId="13" xfId="0" applyNumberFormat="1" applyFont="1" applyFill="1" applyBorder="1" applyAlignment="1" applyProtection="1">
      <alignment shrinkToFit="1"/>
      <protection hidden="1"/>
    </xf>
    <xf numFmtId="0" fontId="0" fillId="36" borderId="60" xfId="0" applyFont="1" applyFill="1" applyBorder="1" applyAlignment="1" applyProtection="1">
      <alignment/>
      <protection hidden="1"/>
    </xf>
    <xf numFmtId="0" fontId="0" fillId="36" borderId="5" xfId="0" applyFont="1" applyFill="1" applyBorder="1" applyAlignment="1" applyProtection="1">
      <alignment/>
      <protection hidden="1"/>
    </xf>
    <xf numFmtId="0" fontId="0" fillId="36" borderId="5" xfId="0" applyFont="1" applyFill="1" applyBorder="1" applyAlignment="1" applyProtection="1">
      <alignment shrinkToFit="1"/>
      <protection hidden="1"/>
    </xf>
    <xf numFmtId="0" fontId="0" fillId="36" borderId="61" xfId="0" applyFont="1" applyFill="1" applyBorder="1" applyAlignment="1" applyProtection="1">
      <alignment shrinkToFit="1"/>
      <protection hidden="1"/>
    </xf>
    <xf numFmtId="2" fontId="16" fillId="45" borderId="6" xfId="103" applyNumberFormat="1" applyFont="1" applyFill="1" applyBorder="1" applyAlignment="1" applyProtection="1">
      <alignment shrinkToFit="1"/>
      <protection hidden="1"/>
    </xf>
    <xf numFmtId="0" fontId="16" fillId="45" borderId="22" xfId="0" applyFont="1" applyFill="1" applyBorder="1" applyAlignment="1" applyProtection="1">
      <alignment/>
      <protection hidden="1"/>
    </xf>
    <xf numFmtId="171" fontId="16" fillId="45" borderId="6" xfId="0" applyNumberFormat="1" applyFont="1" applyFill="1" applyBorder="1" applyAlignment="1" applyProtection="1">
      <alignment/>
      <protection hidden="1"/>
    </xf>
    <xf numFmtId="0" fontId="17" fillId="0" borderId="6" xfId="92" applyFont="1" applyBorder="1" applyAlignment="1">
      <alignment wrapText="1"/>
      <protection/>
    </xf>
    <xf numFmtId="0" fontId="16" fillId="0" borderId="6" xfId="92" applyFont="1" applyBorder="1">
      <alignment/>
      <protection/>
    </xf>
    <xf numFmtId="0" fontId="16" fillId="0" borderId="6" xfId="92" applyFont="1" applyBorder="1" applyAlignment="1">
      <alignment wrapText="1"/>
      <protection/>
    </xf>
    <xf numFmtId="43" fontId="16" fillId="0" borderId="6" xfId="51" applyNumberFormat="1" applyFont="1" applyFill="1" applyBorder="1" applyAlignment="1" applyProtection="1">
      <alignment/>
      <protection hidden="1"/>
    </xf>
    <xf numFmtId="10" fontId="16" fillId="36" borderId="6" xfId="51" applyNumberFormat="1" applyFont="1" applyFill="1" applyBorder="1" applyAlignment="1" applyProtection="1">
      <alignment/>
      <protection hidden="1"/>
    </xf>
    <xf numFmtId="0" fontId="62" fillId="36" borderId="18" xfId="0" applyFont="1" applyFill="1" applyBorder="1" applyAlignment="1" applyProtection="1">
      <alignment/>
      <protection hidden="1"/>
    </xf>
    <xf numFmtId="0" fontId="17" fillId="0" borderId="0" xfId="17" applyFont="1" applyBorder="1" applyAlignment="1">
      <alignment/>
    </xf>
    <xf numFmtId="0" fontId="17" fillId="36" borderId="0" xfId="17" applyFont="1" applyFill="1" applyBorder="1" applyAlignment="1">
      <alignment/>
    </xf>
    <xf numFmtId="2" fontId="16" fillId="0" borderId="21" xfId="17" applyNumberFormat="1" applyFont="1" applyBorder="1" applyAlignment="1">
      <alignment/>
    </xf>
    <xf numFmtId="2" fontId="16" fillId="0" borderId="21" xfId="17" applyNumberFormat="1" applyFont="1" applyBorder="1" applyAlignment="1">
      <alignment horizontal="center"/>
    </xf>
    <xf numFmtId="2" fontId="16" fillId="0" borderId="21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16" fillId="0" borderId="25" xfId="17" applyFont="1" applyBorder="1" applyAlignment="1">
      <alignment/>
    </xf>
    <xf numFmtId="1" fontId="24" fillId="0" borderId="26" xfId="17" applyNumberFormat="1" applyFont="1" applyBorder="1" applyAlignment="1">
      <alignment horizontal="center"/>
    </xf>
    <xf numFmtId="1" fontId="24" fillId="0" borderId="27" xfId="17" applyNumberFormat="1" applyFont="1" applyBorder="1" applyAlignment="1">
      <alignment horizontal="center"/>
    </xf>
    <xf numFmtId="2" fontId="17" fillId="0" borderId="23" xfId="17" applyNumberFormat="1" applyFont="1" applyBorder="1" applyAlignment="1">
      <alignment/>
    </xf>
    <xf numFmtId="2" fontId="17" fillId="0" borderId="24" xfId="17" applyNumberFormat="1" applyFont="1" applyBorder="1" applyAlignment="1">
      <alignment/>
    </xf>
    <xf numFmtId="1" fontId="17" fillId="41" borderId="6" xfId="0" applyNumberFormat="1" applyFont="1" applyFill="1" applyBorder="1" applyAlignment="1" applyProtection="1">
      <alignment horizontal="right" shrinkToFit="1"/>
      <protection locked="0"/>
    </xf>
    <xf numFmtId="0" fontId="104" fillId="46" borderId="62" xfId="0" applyFont="1" applyFill="1" applyBorder="1" applyAlignment="1">
      <alignment horizontal="center" vertical="top" wrapText="1"/>
    </xf>
    <xf numFmtId="0" fontId="104" fillId="46" borderId="63" xfId="0" applyFont="1" applyFill="1" applyBorder="1" applyAlignment="1">
      <alignment horizontal="center" vertical="top" wrapText="1"/>
    </xf>
    <xf numFmtId="0" fontId="105" fillId="0" borderId="64" xfId="0" applyFont="1" applyBorder="1" applyAlignment="1">
      <alignment horizontal="center" vertical="top" wrapText="1"/>
    </xf>
    <xf numFmtId="4" fontId="105" fillId="0" borderId="48" xfId="0" applyNumberFormat="1" applyFont="1" applyBorder="1" applyAlignment="1">
      <alignment horizontal="center" vertical="top"/>
    </xf>
    <xf numFmtId="0" fontId="105" fillId="0" borderId="48" xfId="0" applyFont="1" applyBorder="1" applyAlignment="1">
      <alignment horizontal="center" vertical="top"/>
    </xf>
    <xf numFmtId="0" fontId="65" fillId="0" borderId="48" xfId="0" applyFont="1" applyBorder="1" applyAlignment="1">
      <alignment vertical="top"/>
    </xf>
    <xf numFmtId="4" fontId="0" fillId="0" borderId="0" xfId="0" applyNumberFormat="1" applyFont="1" applyAlignment="1">
      <alignment/>
    </xf>
    <xf numFmtId="9" fontId="0" fillId="0" borderId="0" xfId="103" applyFont="1" applyAlignment="1">
      <alignment/>
    </xf>
    <xf numFmtId="0" fontId="105" fillId="0" borderId="64" xfId="0" applyFont="1" applyBorder="1" applyAlignment="1">
      <alignment horizontal="right" wrapText="1"/>
    </xf>
    <xf numFmtId="0" fontId="104" fillId="0" borderId="48" xfId="0" applyFont="1" applyBorder="1" applyAlignment="1">
      <alignment/>
    </xf>
    <xf numFmtId="0" fontId="105" fillId="0" borderId="48" xfId="0" applyFont="1" applyBorder="1" applyAlignment="1">
      <alignment horizontal="right"/>
    </xf>
    <xf numFmtId="9" fontId="105" fillId="0" borderId="48" xfId="0" applyNumberFormat="1" applyFont="1" applyBorder="1" applyAlignment="1">
      <alignment horizontal="right"/>
    </xf>
    <xf numFmtId="0" fontId="104" fillId="0" borderId="48" xfId="0" applyFont="1" applyBorder="1" applyAlignment="1">
      <alignment wrapText="1"/>
    </xf>
    <xf numFmtId="0" fontId="105" fillId="0" borderId="64" xfId="0" applyFont="1" applyBorder="1" applyAlignment="1">
      <alignment wrapText="1"/>
    </xf>
    <xf numFmtId="0" fontId="104" fillId="46" borderId="0" xfId="0" applyFont="1" applyFill="1" applyBorder="1" applyAlignment="1">
      <alignment horizontal="center" vertical="top" wrapText="1"/>
    </xf>
    <xf numFmtId="0" fontId="104" fillId="46" borderId="20" xfId="0" applyFont="1" applyFill="1" applyBorder="1" applyAlignment="1">
      <alignment horizontal="center" vertical="top" wrapText="1"/>
    </xf>
    <xf numFmtId="174" fontId="0" fillId="0" borderId="0" xfId="0" applyNumberFormat="1" applyFont="1" applyAlignment="1">
      <alignment/>
    </xf>
    <xf numFmtId="2" fontId="16" fillId="41" borderId="6" xfId="0" applyNumberFormat="1" applyFont="1" applyFill="1" applyBorder="1" applyAlignment="1" applyProtection="1">
      <alignment horizontal="right" shrinkToFit="1"/>
      <protection locked="0"/>
    </xf>
    <xf numFmtId="1" fontId="16" fillId="36" borderId="0" xfId="0" applyNumberFormat="1" applyFont="1" applyFill="1" applyBorder="1" applyAlignment="1" applyProtection="1">
      <alignment/>
      <protection hidden="1"/>
    </xf>
    <xf numFmtId="43" fontId="0" fillId="0" borderId="0" xfId="0" applyNumberFormat="1" applyAlignment="1">
      <alignment/>
    </xf>
    <xf numFmtId="43" fontId="0" fillId="36" borderId="0" xfId="0" applyNumberFormat="1" applyFont="1" applyFill="1" applyAlignment="1" applyProtection="1">
      <alignment/>
      <protection hidden="1"/>
    </xf>
    <xf numFmtId="2" fontId="16" fillId="0" borderId="65" xfId="17" applyNumberFormat="1" applyFont="1" applyBorder="1" applyAlignment="1">
      <alignment/>
    </xf>
    <xf numFmtId="0" fontId="16" fillId="0" borderId="1" xfId="17" applyFont="1" applyBorder="1" applyAlignment="1">
      <alignment/>
    </xf>
    <xf numFmtId="1" fontId="16" fillId="0" borderId="53" xfId="17" applyNumberFormat="1" applyFont="1" applyBorder="1" applyAlignment="1">
      <alignment horizontal="center"/>
    </xf>
    <xf numFmtId="174" fontId="16" fillId="0" borderId="53" xfId="17" applyNumberFormat="1" applyFont="1" applyBorder="1" applyAlignment="1">
      <alignment horizontal="center"/>
    </xf>
    <xf numFmtId="1" fontId="16" fillId="0" borderId="66" xfId="17" applyNumberFormat="1" applyFont="1" applyBorder="1" applyAlignment="1">
      <alignment horizontal="center"/>
    </xf>
    <xf numFmtId="0" fontId="16" fillId="36" borderId="18" xfId="0" applyFont="1" applyFill="1" applyBorder="1" applyAlignment="1" applyProtection="1">
      <alignment shrinkToFit="1"/>
      <protection hidden="1"/>
    </xf>
    <xf numFmtId="43" fontId="17" fillId="36" borderId="0" xfId="51" applyNumberFormat="1" applyFont="1" applyFill="1" applyBorder="1" applyAlignment="1" applyProtection="1">
      <alignment shrinkToFit="1"/>
      <protection hidden="1"/>
    </xf>
    <xf numFmtId="0" fontId="21" fillId="0" borderId="6" xfId="17" applyFont="1" applyBorder="1" applyAlignment="1">
      <alignment/>
    </xf>
    <xf numFmtId="0" fontId="16" fillId="0" borderId="6" xfId="17" applyFont="1" applyFill="1" applyBorder="1" applyAlignment="1">
      <alignment/>
    </xf>
    <xf numFmtId="0" fontId="0" fillId="36" borderId="6" xfId="0" applyFont="1" applyFill="1" applyBorder="1" applyAlignment="1">
      <alignment shrinkToFit="1"/>
    </xf>
    <xf numFmtId="0" fontId="16" fillId="36" borderId="6" xfId="0" applyFont="1" applyFill="1" applyBorder="1" applyAlignment="1" applyProtection="1">
      <alignment wrapText="1"/>
      <protection hidden="1"/>
    </xf>
    <xf numFmtId="0" fontId="2" fillId="36" borderId="0" xfId="0" applyFont="1" applyFill="1" applyAlignment="1">
      <alignment shrinkToFit="1"/>
    </xf>
    <xf numFmtId="0" fontId="2" fillId="36" borderId="0" xfId="0" applyFont="1" applyFill="1" applyAlignment="1">
      <alignment/>
    </xf>
    <xf numFmtId="0" fontId="2" fillId="36" borderId="22" xfId="0" applyFont="1" applyFill="1" applyBorder="1" applyAlignment="1" applyProtection="1">
      <alignment/>
      <protection hidden="1"/>
    </xf>
    <xf numFmtId="0" fontId="2" fillId="36" borderId="6" xfId="0" applyFont="1" applyFill="1" applyBorder="1" applyAlignment="1">
      <alignment shrinkToFit="1"/>
    </xf>
    <xf numFmtId="0" fontId="2" fillId="36" borderId="67" xfId="0" applyFont="1" applyFill="1" applyBorder="1" applyAlignment="1" applyProtection="1">
      <alignment/>
      <protection hidden="1"/>
    </xf>
    <xf numFmtId="0" fontId="2" fillId="36" borderId="6" xfId="0" applyFont="1" applyFill="1" applyBorder="1" applyAlignment="1">
      <alignment/>
    </xf>
    <xf numFmtId="0" fontId="4" fillId="36" borderId="6" xfId="0" applyFont="1" applyFill="1" applyBorder="1" applyAlignment="1">
      <alignment/>
    </xf>
    <xf numFmtId="1" fontId="2" fillId="36" borderId="6" xfId="0" applyNumberFormat="1" applyFont="1" applyFill="1" applyBorder="1" applyAlignment="1">
      <alignment/>
    </xf>
    <xf numFmtId="43" fontId="2" fillId="36" borderId="6" xfId="0" applyNumberFormat="1" applyFont="1" applyFill="1" applyBorder="1" applyAlignment="1">
      <alignment shrinkToFit="1"/>
    </xf>
    <xf numFmtId="10" fontId="4" fillId="36" borderId="6" xfId="0" applyNumberFormat="1" applyFont="1" applyFill="1" applyBorder="1" applyAlignment="1">
      <alignment/>
    </xf>
    <xf numFmtId="1" fontId="4" fillId="36" borderId="6" xfId="0" applyNumberFormat="1" applyFont="1" applyFill="1" applyBorder="1" applyAlignment="1" applyProtection="1">
      <alignment horizontal="center" shrinkToFit="1"/>
      <protection hidden="1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3" fontId="11" fillId="39" borderId="0" xfId="51" applyFont="1" applyFill="1" applyBorder="1" applyAlignment="1" applyProtection="1">
      <alignment horizontal="center"/>
      <protection locked="0"/>
    </xf>
    <xf numFmtId="43" fontId="6" fillId="39" borderId="0" xfId="51" applyFont="1" applyFill="1" applyBorder="1" applyAlignment="1" applyProtection="1">
      <alignment horizontal="center"/>
      <protection locked="0"/>
    </xf>
    <xf numFmtId="43" fontId="6" fillId="39" borderId="20" xfId="51" applyFont="1" applyFill="1" applyBorder="1" applyAlignment="1" applyProtection="1">
      <alignment horizontal="center"/>
      <protection locked="0"/>
    </xf>
    <xf numFmtId="9" fontId="6" fillId="39" borderId="0" xfId="0" applyNumberFormat="1" applyFont="1" applyFill="1" applyBorder="1" applyAlignment="1" applyProtection="1">
      <alignment shrinkToFit="1"/>
      <protection locked="0"/>
    </xf>
    <xf numFmtId="43" fontId="9" fillId="39" borderId="0" xfId="51" applyFont="1" applyFill="1" applyBorder="1" applyAlignment="1" applyProtection="1">
      <alignment horizontal="center"/>
      <protection locked="0"/>
    </xf>
    <xf numFmtId="9" fontId="6" fillId="39" borderId="20" xfId="103" applyFont="1" applyFill="1" applyBorder="1" applyAlignment="1" applyProtection="1">
      <alignment horizontal="center"/>
      <protection locked="0"/>
    </xf>
    <xf numFmtId="43" fontId="11" fillId="39" borderId="0" xfId="51" applyFont="1" applyFill="1" applyBorder="1" applyAlignment="1" applyProtection="1">
      <alignment horizontal="right"/>
      <protection locked="0"/>
    </xf>
    <xf numFmtId="0" fontId="6" fillId="39" borderId="20" xfId="0" applyFont="1" applyFill="1" applyBorder="1" applyAlignment="1" applyProtection="1">
      <alignment/>
      <protection locked="0"/>
    </xf>
    <xf numFmtId="0" fontId="6" fillId="39" borderId="0" xfId="0" applyFont="1" applyFill="1" applyBorder="1" applyAlignment="1" applyProtection="1">
      <alignment shrinkToFit="1"/>
      <protection locked="0"/>
    </xf>
    <xf numFmtId="0" fontId="9" fillId="39" borderId="0" xfId="51" applyNumberFormat="1" applyFont="1" applyFill="1" applyBorder="1" applyAlignment="1" applyProtection="1">
      <alignment horizontal="left"/>
      <protection locked="0"/>
    </xf>
    <xf numFmtId="9" fontId="6" fillId="39" borderId="0" xfId="103" applyFont="1" applyFill="1" applyBorder="1" applyAlignment="1" applyProtection="1">
      <alignment horizontal="right"/>
      <protection locked="0"/>
    </xf>
    <xf numFmtId="172" fontId="6" fillId="39" borderId="0" xfId="51" applyNumberFormat="1" applyFont="1" applyFill="1" applyBorder="1" applyAlignment="1" applyProtection="1">
      <alignment shrinkToFit="1"/>
      <protection locked="0"/>
    </xf>
    <xf numFmtId="0" fontId="6" fillId="39" borderId="0" xfId="0" applyFont="1" applyFill="1" applyBorder="1" applyAlignment="1" applyProtection="1">
      <alignment/>
      <protection locked="0"/>
    </xf>
    <xf numFmtId="43" fontId="6" fillId="47" borderId="0" xfId="51" applyFont="1" applyFill="1" applyBorder="1" applyAlignment="1" applyProtection="1">
      <alignment horizontal="center"/>
      <protection locked="0"/>
    </xf>
    <xf numFmtId="43" fontId="6" fillId="39" borderId="0" xfId="51" applyFont="1" applyFill="1" applyBorder="1" applyAlignment="1" applyProtection="1" quotePrefix="1">
      <alignment horizontal="center"/>
      <protection locked="0"/>
    </xf>
    <xf numFmtId="43" fontId="10" fillId="39" borderId="0" xfId="51" applyFont="1" applyFill="1" applyBorder="1" applyAlignment="1" applyProtection="1">
      <alignment shrinkToFit="1"/>
      <protection locked="0"/>
    </xf>
    <xf numFmtId="43" fontId="10" fillId="39" borderId="0" xfId="51" applyFont="1" applyFill="1" applyBorder="1" applyAlignment="1" applyProtection="1">
      <alignment horizontal="center" shrinkToFit="1"/>
      <protection locked="0"/>
    </xf>
    <xf numFmtId="9" fontId="6" fillId="39" borderId="20" xfId="51" applyNumberFormat="1" applyFont="1" applyFill="1" applyBorder="1" applyAlignment="1" applyProtection="1">
      <alignment horizontal="center"/>
      <protection locked="0"/>
    </xf>
    <xf numFmtId="43" fontId="6" fillId="0" borderId="0" xfId="0" applyNumberFormat="1" applyFont="1" applyAlignment="1" applyProtection="1">
      <alignment/>
      <protection locked="0"/>
    </xf>
    <xf numFmtId="10" fontId="6" fillId="39" borderId="0" xfId="103" applyNumberFormat="1" applyFont="1" applyFill="1" applyBorder="1" applyAlignment="1" applyProtection="1">
      <alignment horizontal="center"/>
      <protection locked="0"/>
    </xf>
    <xf numFmtId="43" fontId="6" fillId="39" borderId="0" xfId="51" applyFont="1" applyFill="1" applyBorder="1" applyAlignment="1" applyProtection="1">
      <alignment horizontal="left"/>
      <protection locked="0"/>
    </xf>
    <xf numFmtId="10" fontId="6" fillId="39" borderId="0" xfId="51" applyNumberFormat="1" applyFont="1" applyFill="1" applyBorder="1" applyAlignment="1" applyProtection="1">
      <alignment horizontal="center"/>
      <protection locked="0"/>
    </xf>
    <xf numFmtId="43" fontId="6" fillId="39" borderId="0" xfId="51" applyFont="1" applyFill="1" applyBorder="1" applyAlignment="1" applyProtection="1">
      <alignment horizontal="left" wrapText="1"/>
      <protection locked="0"/>
    </xf>
    <xf numFmtId="177" fontId="6" fillId="39" borderId="0" xfId="103" applyNumberFormat="1" applyFont="1" applyFill="1" applyBorder="1" applyAlignment="1" applyProtection="1">
      <alignment horizontal="center"/>
      <protection locked="0"/>
    </xf>
    <xf numFmtId="0" fontId="6" fillId="39" borderId="0" xfId="0" applyFont="1" applyFill="1" applyBorder="1" applyAlignment="1" applyProtection="1">
      <alignment horizontal="left"/>
      <protection locked="0"/>
    </xf>
    <xf numFmtId="177" fontId="6" fillId="39" borderId="20" xfId="103" applyNumberFormat="1" applyFont="1" applyFill="1" applyBorder="1" applyAlignment="1" applyProtection="1">
      <alignment horizontal="center"/>
      <protection locked="0"/>
    </xf>
    <xf numFmtId="43" fontId="11" fillId="39" borderId="20" xfId="51" applyFont="1" applyFill="1" applyBorder="1" applyAlignment="1" applyProtection="1">
      <alignment horizontal="right"/>
      <protection locked="0"/>
    </xf>
    <xf numFmtId="0" fontId="10" fillId="39" borderId="0" xfId="0" applyFont="1" applyFill="1" applyBorder="1" applyAlignment="1" applyProtection="1">
      <alignment horizontal="center" shrinkToFit="1"/>
      <protection locked="0"/>
    </xf>
    <xf numFmtId="43" fontId="10" fillId="39" borderId="0" xfId="5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9" fontId="6" fillId="39" borderId="0" xfId="0" applyNumberFormat="1" applyFont="1" applyFill="1" applyBorder="1" applyAlignment="1" applyProtection="1">
      <alignment/>
      <protection locked="0"/>
    </xf>
    <xf numFmtId="9" fontId="6" fillId="39" borderId="20" xfId="0" applyNumberFormat="1" applyFont="1" applyFill="1" applyBorder="1" applyAlignment="1" applyProtection="1">
      <alignment/>
      <protection locked="0"/>
    </xf>
    <xf numFmtId="0" fontId="6" fillId="48" borderId="0" xfId="0" applyFont="1" applyFill="1" applyAlignment="1" applyProtection="1">
      <alignment/>
      <protection locked="0"/>
    </xf>
    <xf numFmtId="175" fontId="6" fillId="39" borderId="0" xfId="51" applyNumberFormat="1" applyFont="1" applyFill="1" applyBorder="1" applyAlignment="1" applyProtection="1">
      <alignment shrinkToFit="1"/>
      <protection locked="0"/>
    </xf>
    <xf numFmtId="10" fontId="6" fillId="39" borderId="0" xfId="0" applyNumberFormat="1" applyFont="1" applyFill="1" applyBorder="1" applyAlignment="1" applyProtection="1">
      <alignment/>
      <protection locked="0"/>
    </xf>
    <xf numFmtId="10" fontId="6" fillId="39" borderId="0" xfId="103" applyNumberFormat="1" applyFont="1" applyFill="1" applyBorder="1" applyAlignment="1" applyProtection="1">
      <alignment/>
      <protection locked="0"/>
    </xf>
    <xf numFmtId="0" fontId="6" fillId="39" borderId="0" xfId="0" applyFont="1" applyFill="1" applyBorder="1" applyAlignment="1" applyProtection="1">
      <alignment/>
      <protection locked="0"/>
    </xf>
    <xf numFmtId="1" fontId="6" fillId="39" borderId="0" xfId="0" applyNumberFormat="1" applyFont="1" applyFill="1" applyBorder="1" applyAlignment="1" applyProtection="1">
      <alignment/>
      <protection locked="0"/>
    </xf>
    <xf numFmtId="0" fontId="6" fillId="39" borderId="20" xfId="0" applyFont="1" applyFill="1" applyBorder="1" applyAlignment="1" applyProtection="1">
      <alignment shrinkToFit="1"/>
      <protection locked="0"/>
    </xf>
    <xf numFmtId="0" fontId="6" fillId="49" borderId="0" xfId="0" applyFont="1" applyFill="1" applyBorder="1" applyAlignment="1" applyProtection="1">
      <alignment shrinkToFit="1"/>
      <protection locked="0"/>
    </xf>
    <xf numFmtId="9" fontId="6" fillId="49" borderId="47" xfId="0" applyNumberFormat="1" applyFont="1" applyFill="1" applyBorder="1" applyAlignment="1" applyProtection="1">
      <alignment shrinkToFit="1"/>
      <protection locked="0"/>
    </xf>
    <xf numFmtId="43" fontId="6" fillId="39" borderId="47" xfId="51" applyFont="1" applyFill="1" applyBorder="1" applyAlignment="1" applyProtection="1">
      <alignment horizontal="center"/>
      <protection locked="0"/>
    </xf>
    <xf numFmtId="43" fontId="6" fillId="39" borderId="48" xfId="51" applyFont="1" applyFill="1" applyBorder="1" applyAlignment="1" applyProtection="1">
      <alignment horizontal="center"/>
      <protection locked="0"/>
    </xf>
    <xf numFmtId="0" fontId="7" fillId="11" borderId="0" xfId="0" applyFont="1" applyFill="1" applyAlignment="1" applyProtection="1">
      <alignment shrinkToFit="1"/>
      <protection locked="0"/>
    </xf>
    <xf numFmtId="0" fontId="6" fillId="11" borderId="0" xfId="0" applyFont="1" applyFill="1" applyAlignment="1" applyProtection="1">
      <alignment shrinkToFit="1"/>
      <protection locked="0"/>
    </xf>
    <xf numFmtId="0" fontId="6" fillId="11" borderId="0" xfId="0" applyFont="1" applyFill="1" applyAlignment="1" applyProtection="1">
      <alignment/>
      <protection locked="0"/>
    </xf>
    <xf numFmtId="0" fontId="20" fillId="11" borderId="6" xfId="0" applyFont="1" applyFill="1" applyBorder="1" applyAlignment="1" applyProtection="1">
      <alignment/>
      <protection locked="0"/>
    </xf>
    <xf numFmtId="0" fontId="6" fillId="11" borderId="6" xfId="0" applyFont="1" applyFill="1" applyBorder="1" applyAlignment="1" applyProtection="1">
      <alignment/>
      <protection locked="0"/>
    </xf>
    <xf numFmtId="0" fontId="0" fillId="11" borderId="6" xfId="0" applyFill="1" applyBorder="1" applyAlignment="1" applyProtection="1">
      <alignment/>
      <protection locked="0"/>
    </xf>
    <xf numFmtId="0" fontId="16" fillId="11" borderId="6" xfId="0" applyFont="1" applyFill="1" applyBorder="1" applyAlignment="1" applyProtection="1">
      <alignment shrinkToFit="1"/>
      <protection locked="0"/>
    </xf>
    <xf numFmtId="4" fontId="6" fillId="11" borderId="6" xfId="0" applyNumberFormat="1" applyFont="1" applyFill="1" applyBorder="1" applyAlignment="1" applyProtection="1">
      <alignment/>
      <protection locked="0"/>
    </xf>
    <xf numFmtId="0" fontId="17" fillId="11" borderId="6" xfId="0" applyFont="1" applyFill="1" applyBorder="1" applyAlignment="1" applyProtection="1">
      <alignment shrinkToFit="1"/>
      <protection locked="0"/>
    </xf>
    <xf numFmtId="43" fontId="20" fillId="11" borderId="6" xfId="51" applyFont="1" applyFill="1" applyBorder="1" applyAlignment="1" applyProtection="1">
      <alignment/>
      <protection locked="0"/>
    </xf>
    <xf numFmtId="4" fontId="7" fillId="11" borderId="6" xfId="0" applyNumberFormat="1" applyFont="1" applyFill="1" applyBorder="1" applyAlignment="1" applyProtection="1">
      <alignment/>
      <protection locked="0"/>
    </xf>
    <xf numFmtId="0" fontId="0" fillId="11" borderId="6" xfId="0" applyFont="1" applyFill="1" applyBorder="1" applyAlignment="1" applyProtection="1">
      <alignment wrapText="1"/>
      <protection locked="0"/>
    </xf>
    <xf numFmtId="0" fontId="6" fillId="11" borderId="6" xfId="0" applyFont="1" applyFill="1" applyBorder="1" applyAlignment="1" applyProtection="1">
      <alignment shrinkToFit="1"/>
      <protection locked="0"/>
    </xf>
    <xf numFmtId="9" fontId="6" fillId="11" borderId="6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shrinkToFit="1"/>
      <protection locked="0"/>
    </xf>
    <xf numFmtId="9" fontId="6" fillId="0" borderId="0" xfId="103" applyNumberFormat="1" applyFont="1" applyAlignment="1" applyProtection="1">
      <alignment shrinkToFit="1"/>
      <protection locked="0"/>
    </xf>
    <xf numFmtId="0" fontId="7" fillId="0" borderId="0" xfId="0" applyFont="1" applyAlignment="1" applyProtection="1">
      <alignment shrinkToFit="1"/>
      <protection locked="0"/>
    </xf>
    <xf numFmtId="1" fontId="6" fillId="0" borderId="0" xfId="0" applyNumberFormat="1" applyFont="1" applyAlignment="1" applyProtection="1">
      <alignment/>
      <protection locked="0"/>
    </xf>
    <xf numFmtId="0" fontId="6" fillId="0" borderId="6" xfId="0" applyFont="1" applyBorder="1" applyAlignment="1" applyProtection="1">
      <alignment shrinkToFit="1"/>
      <protection locked="0"/>
    </xf>
    <xf numFmtId="0" fontId="6" fillId="0" borderId="6" xfId="0" applyFont="1" applyBorder="1" applyAlignment="1" applyProtection="1">
      <alignment horizontal="right" shrinkToFit="1"/>
      <protection locked="0"/>
    </xf>
    <xf numFmtId="10" fontId="6" fillId="0" borderId="6" xfId="0" applyNumberFormat="1" applyFont="1" applyBorder="1" applyAlignment="1" applyProtection="1">
      <alignment horizontal="right" shrinkToFit="1"/>
      <protection locked="0"/>
    </xf>
    <xf numFmtId="40" fontId="6" fillId="0" borderId="6" xfId="0" applyNumberFormat="1" applyFont="1" applyBorder="1" applyAlignment="1" applyProtection="1">
      <alignment horizontal="right" shrinkToFit="1"/>
      <protection locked="0"/>
    </xf>
    <xf numFmtId="43" fontId="6" fillId="0" borderId="6" xfId="0" applyNumberFormat="1" applyFont="1" applyBorder="1" applyAlignment="1" applyProtection="1">
      <alignment horizontal="right" shrinkToFit="1"/>
      <protection locked="0"/>
    </xf>
    <xf numFmtId="189" fontId="6" fillId="39" borderId="0" xfId="51" applyNumberFormat="1" applyFont="1" applyFill="1" applyBorder="1" applyAlignment="1" applyProtection="1">
      <alignment horizontal="center"/>
      <protection/>
    </xf>
    <xf numFmtId="43" fontId="6" fillId="39" borderId="0" xfId="51" applyFont="1" applyFill="1" applyBorder="1" applyAlignment="1" applyProtection="1">
      <alignment horizontal="center"/>
      <protection locked="0"/>
    </xf>
    <xf numFmtId="43" fontId="6" fillId="39" borderId="0" xfId="51" applyFont="1" applyFill="1" applyBorder="1" applyAlignment="1" applyProtection="1">
      <alignment horizontal="left"/>
      <protection locked="0"/>
    </xf>
    <xf numFmtId="43" fontId="6" fillId="39" borderId="20" xfId="51" applyFont="1" applyFill="1" applyBorder="1" applyAlignment="1" applyProtection="1">
      <alignment horizontal="left"/>
      <protection locked="0"/>
    </xf>
    <xf numFmtId="0" fontId="5" fillId="39" borderId="16" xfId="0" applyFont="1" applyFill="1" applyBorder="1" applyAlignment="1" applyProtection="1">
      <alignment horizontal="center" vertical="center"/>
      <protection locked="0"/>
    </xf>
    <xf numFmtId="0" fontId="5" fillId="39" borderId="17" xfId="0" applyFont="1" applyFill="1" applyBorder="1" applyAlignment="1" applyProtection="1">
      <alignment horizontal="center" vertical="center"/>
      <protection locked="0"/>
    </xf>
    <xf numFmtId="0" fontId="5" fillId="39" borderId="19" xfId="0" applyFont="1" applyFill="1" applyBorder="1" applyAlignment="1" applyProtection="1">
      <alignment horizontal="center" vertical="center"/>
      <protection locked="0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7" fillId="41" borderId="0" xfId="0" applyFont="1" applyFill="1" applyBorder="1" applyAlignment="1" applyProtection="1">
      <alignment horizontal="left"/>
      <protection locked="0"/>
    </xf>
    <xf numFmtId="0" fontId="7" fillId="41" borderId="20" xfId="0" applyFont="1" applyFill="1" applyBorder="1" applyAlignment="1" applyProtection="1">
      <alignment horizontal="left"/>
      <protection locked="0"/>
    </xf>
    <xf numFmtId="43" fontId="12" fillId="39" borderId="0" xfId="79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9" fillId="39" borderId="0" xfId="0" applyFont="1" applyFill="1" applyBorder="1" applyAlignment="1" applyProtection="1">
      <alignment horizontal="center"/>
      <protection locked="0"/>
    </xf>
    <xf numFmtId="0" fontId="9" fillId="39" borderId="20" xfId="0" applyFont="1" applyFill="1" applyBorder="1" applyAlignment="1" applyProtection="1">
      <alignment horizontal="center"/>
      <protection locked="0"/>
    </xf>
    <xf numFmtId="0" fontId="55" fillId="36" borderId="18" xfId="0" applyFont="1" applyFill="1" applyBorder="1" applyAlignment="1" applyProtection="1">
      <alignment horizontal="center"/>
      <protection hidden="1"/>
    </xf>
    <xf numFmtId="0" fontId="55" fillId="36" borderId="0" xfId="0" applyFont="1" applyFill="1" applyBorder="1" applyAlignment="1" applyProtection="1">
      <alignment horizontal="center"/>
      <protection hidden="1"/>
    </xf>
    <xf numFmtId="0" fontId="0" fillId="45" borderId="14" xfId="0" applyFont="1" applyFill="1" applyBorder="1" applyAlignment="1" applyProtection="1">
      <alignment horizontal="center"/>
      <protection hidden="1"/>
    </xf>
    <xf numFmtId="0" fontId="0" fillId="45" borderId="68" xfId="0" applyFont="1" applyFill="1" applyBorder="1" applyAlignment="1" applyProtection="1">
      <alignment horizontal="center"/>
      <protection hidden="1"/>
    </xf>
    <xf numFmtId="0" fontId="0" fillId="45" borderId="30" xfId="0" applyFont="1" applyFill="1" applyBorder="1" applyAlignment="1" applyProtection="1">
      <alignment horizontal="center"/>
      <protection hidden="1"/>
    </xf>
    <xf numFmtId="0" fontId="0" fillId="36" borderId="44" xfId="0" applyFont="1" applyFill="1" applyBorder="1" applyAlignment="1">
      <alignment/>
    </xf>
    <xf numFmtId="0" fontId="0" fillId="0" borderId="53" xfId="0" applyBorder="1" applyAlignment="1">
      <alignment/>
    </xf>
    <xf numFmtId="0" fontId="16" fillId="36" borderId="67" xfId="0" applyNumberFormat="1" applyFont="1" applyFill="1" applyBorder="1" applyAlignment="1" applyProtection="1">
      <alignment horizontal="center" vertical="center"/>
      <protection hidden="1"/>
    </xf>
    <xf numFmtId="0" fontId="16" fillId="36" borderId="69" xfId="0" applyNumberFormat="1" applyFont="1" applyFill="1" applyBorder="1" applyAlignment="1" applyProtection="1">
      <alignment horizontal="center" vertical="center"/>
      <protection hidden="1"/>
    </xf>
    <xf numFmtId="0" fontId="16" fillId="36" borderId="29" xfId="0" applyNumberFormat="1" applyFont="1" applyFill="1" applyBorder="1" applyAlignment="1" applyProtection="1">
      <alignment horizontal="center" vertical="center"/>
      <protection hidden="1"/>
    </xf>
    <xf numFmtId="0" fontId="17" fillId="36" borderId="44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/>
    </xf>
    <xf numFmtId="0" fontId="27" fillId="40" borderId="70" xfId="95" applyFont="1" applyFill="1" applyBorder="1" applyAlignment="1">
      <alignment horizontal="center"/>
      <protection/>
    </xf>
    <xf numFmtId="0" fontId="27" fillId="40" borderId="71" xfId="95" applyFont="1" applyFill="1" applyBorder="1" applyAlignment="1">
      <alignment horizontal="center"/>
      <protection/>
    </xf>
    <xf numFmtId="0" fontId="27" fillId="40" borderId="72" xfId="95" applyFont="1" applyFill="1" applyBorder="1" applyAlignment="1">
      <alignment horizontal="center"/>
      <protection/>
    </xf>
    <xf numFmtId="0" fontId="27" fillId="40" borderId="37" xfId="95" applyFont="1" applyFill="1" applyBorder="1" applyAlignment="1">
      <alignment horizontal="center"/>
      <protection/>
    </xf>
    <xf numFmtId="0" fontId="27" fillId="40" borderId="38" xfId="95" applyFont="1" applyFill="1" applyBorder="1" applyAlignment="1">
      <alignment horizontal="center"/>
      <protection/>
    </xf>
    <xf numFmtId="0" fontId="27" fillId="40" borderId="39" xfId="95" applyFont="1" applyFill="1" applyBorder="1" applyAlignment="1">
      <alignment horizontal="center"/>
      <protection/>
    </xf>
    <xf numFmtId="0" fontId="29" fillId="40" borderId="70" xfId="95" applyFont="1" applyFill="1" applyBorder="1" applyAlignment="1">
      <alignment horizontal="center"/>
      <protection/>
    </xf>
    <xf numFmtId="0" fontId="29" fillId="40" borderId="72" xfId="95" applyFont="1" applyFill="1" applyBorder="1" applyAlignment="1">
      <alignment horizontal="center"/>
      <protection/>
    </xf>
    <xf numFmtId="0" fontId="16" fillId="36" borderId="17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6" borderId="6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73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36" borderId="18" xfId="0" applyFont="1" applyFill="1" applyBorder="1" applyAlignment="1" applyProtection="1">
      <alignment horizontal="left"/>
      <protection hidden="1"/>
    </xf>
    <xf numFmtId="0" fontId="17" fillId="36" borderId="0" xfId="0" applyFont="1" applyFill="1" applyBorder="1" applyAlignment="1" applyProtection="1">
      <alignment horizontal="left"/>
      <protection hidden="1"/>
    </xf>
    <xf numFmtId="0" fontId="6" fillId="39" borderId="18" xfId="0" applyFont="1" applyFill="1" applyBorder="1" applyAlignment="1" applyProtection="1">
      <alignment shrinkToFit="1"/>
      <protection/>
    </xf>
    <xf numFmtId="43" fontId="9" fillId="39" borderId="18" xfId="51" applyFont="1" applyFill="1" applyBorder="1" applyAlignment="1" applyProtection="1">
      <alignment horizontal="center"/>
      <protection/>
    </xf>
    <xf numFmtId="0" fontId="6" fillId="39" borderId="18" xfId="0" applyFont="1" applyFill="1" applyBorder="1" applyAlignment="1" applyProtection="1">
      <alignment horizontal="left" shrinkToFit="1"/>
      <protection/>
    </xf>
    <xf numFmtId="0" fontId="6" fillId="39" borderId="18" xfId="0" applyFont="1" applyFill="1" applyBorder="1" applyAlignment="1" applyProtection="1">
      <alignment horizontal="right" shrinkToFit="1"/>
      <protection/>
    </xf>
    <xf numFmtId="0" fontId="8" fillId="39" borderId="18" xfId="0" applyFont="1" applyFill="1" applyBorder="1" applyAlignment="1" applyProtection="1">
      <alignment shrinkToFit="1"/>
      <protection/>
    </xf>
    <xf numFmtId="0" fontId="10" fillId="39" borderId="18" xfId="0" applyFont="1" applyFill="1" applyBorder="1" applyAlignment="1" applyProtection="1">
      <alignment shrinkToFit="1"/>
      <protection/>
    </xf>
    <xf numFmtId="0" fontId="7" fillId="39" borderId="18" xfId="0" applyFont="1" applyFill="1" applyBorder="1" applyAlignment="1" applyProtection="1">
      <alignment shrinkToFit="1"/>
      <protection/>
    </xf>
    <xf numFmtId="9" fontId="6" fillId="39" borderId="18" xfId="0" applyNumberFormat="1" applyFont="1" applyFill="1" applyBorder="1" applyAlignment="1" applyProtection="1">
      <alignment/>
      <protection/>
    </xf>
    <xf numFmtId="0" fontId="2" fillId="39" borderId="18" xfId="0" applyFont="1" applyFill="1" applyBorder="1" applyAlignment="1" applyProtection="1">
      <alignment shrinkToFit="1"/>
      <protection/>
    </xf>
    <xf numFmtId="0" fontId="2" fillId="39" borderId="18" xfId="0" applyFont="1" applyFill="1" applyBorder="1" applyAlignment="1" applyProtection="1">
      <alignment/>
      <protection/>
    </xf>
    <xf numFmtId="0" fontId="2" fillId="39" borderId="18" xfId="0" applyFont="1" applyFill="1" applyBorder="1" applyAlignment="1" applyProtection="1">
      <alignment wrapText="1"/>
      <protection/>
    </xf>
    <xf numFmtId="43" fontId="6" fillId="39" borderId="18" xfId="51" applyFont="1" applyFill="1" applyBorder="1" applyAlignment="1" applyProtection="1">
      <alignment horizontal="center"/>
      <protection/>
    </xf>
    <xf numFmtId="9" fontId="6" fillId="39" borderId="18" xfId="0" applyNumberFormat="1" applyFont="1" applyFill="1" applyBorder="1" applyAlignment="1" applyProtection="1">
      <alignment wrapText="1"/>
      <protection/>
    </xf>
    <xf numFmtId="9" fontId="6" fillId="39" borderId="46" xfId="0" applyNumberFormat="1" applyFont="1" applyFill="1" applyBorder="1" applyAlignment="1" applyProtection="1">
      <alignment/>
      <protection/>
    </xf>
    <xf numFmtId="2" fontId="6" fillId="39" borderId="0" xfId="0" applyNumberFormat="1" applyFont="1" applyFill="1" applyBorder="1" applyAlignment="1" applyProtection="1">
      <alignment wrapText="1"/>
      <protection/>
    </xf>
    <xf numFmtId="9" fontId="6" fillId="39" borderId="0" xfId="0" applyNumberFormat="1" applyFont="1" applyFill="1" applyBorder="1" applyAlignment="1" applyProtection="1">
      <alignment shrinkToFit="1"/>
      <protection/>
    </xf>
    <xf numFmtId="9" fontId="6" fillId="41" borderId="0" xfId="103" applyFont="1" applyFill="1" applyBorder="1" applyAlignment="1" applyProtection="1">
      <alignment shrinkToFit="1"/>
      <protection/>
    </xf>
    <xf numFmtId="0" fontId="16" fillId="36" borderId="6" xfId="0" applyFont="1" applyFill="1" applyBorder="1" applyAlignment="1" applyProtection="1">
      <alignment/>
      <protection locked="0"/>
    </xf>
    <xf numFmtId="0" fontId="16" fillId="36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3" fontId="16" fillId="36" borderId="6" xfId="51" applyNumberFormat="1" applyFont="1" applyFill="1" applyBorder="1" applyAlignment="1" applyProtection="1">
      <alignment shrinkToFit="1"/>
      <protection locked="0"/>
    </xf>
    <xf numFmtId="0" fontId="16" fillId="36" borderId="18" xfId="0" applyFont="1" applyFill="1" applyBorder="1" applyAlignment="1" applyProtection="1">
      <alignment/>
      <protection locked="0"/>
    </xf>
    <xf numFmtId="0" fontId="17" fillId="36" borderId="0" xfId="0" applyFont="1" applyFill="1" applyBorder="1" applyAlignment="1" applyProtection="1">
      <alignment/>
      <protection locked="0"/>
    </xf>
    <xf numFmtId="43" fontId="17" fillId="36" borderId="0" xfId="51" applyFont="1" applyFill="1" applyBorder="1" applyAlignment="1" applyProtection="1">
      <alignment shrinkToFit="1"/>
      <protection locked="0"/>
    </xf>
    <xf numFmtId="172" fontId="16" fillId="36" borderId="6" xfId="51" applyNumberFormat="1" applyFont="1" applyFill="1" applyBorder="1" applyAlignment="1" applyProtection="1">
      <alignment/>
      <protection/>
    </xf>
    <xf numFmtId="0" fontId="16" fillId="36" borderId="6" xfId="0" applyFont="1" applyFill="1" applyBorder="1" applyAlignment="1" applyProtection="1">
      <alignment/>
      <protection/>
    </xf>
    <xf numFmtId="2" fontId="16" fillId="0" borderId="6" xfId="0" applyNumberFormat="1" applyFont="1" applyFill="1" applyBorder="1" applyAlignment="1" applyProtection="1">
      <alignment horizontal="right" shrinkToFit="1"/>
      <protection/>
    </xf>
    <xf numFmtId="0" fontId="16" fillId="36" borderId="0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91" fontId="16" fillId="0" borderId="6" xfId="0" applyNumberFormat="1" applyFont="1" applyFill="1" applyBorder="1" applyAlignment="1" applyProtection="1">
      <alignment horizontal="right" shrinkToFit="1"/>
      <protection/>
    </xf>
    <xf numFmtId="0" fontId="17" fillId="36" borderId="6" xfId="0" applyFont="1" applyFill="1" applyBorder="1" applyAlignment="1" applyProtection="1">
      <alignment/>
      <protection/>
    </xf>
    <xf numFmtId="2" fontId="17" fillId="0" borderId="6" xfId="0" applyNumberFormat="1" applyFont="1" applyFill="1" applyBorder="1" applyAlignment="1" applyProtection="1">
      <alignment horizontal="right" shrinkToFit="1"/>
      <protection/>
    </xf>
    <xf numFmtId="172" fontId="16" fillId="36" borderId="0" xfId="0" applyNumberFormat="1" applyFont="1" applyFill="1" applyBorder="1" applyAlignment="1" applyProtection="1">
      <alignment/>
      <protection/>
    </xf>
    <xf numFmtId="43" fontId="16" fillId="36" borderId="6" xfId="51" applyFont="1" applyFill="1" applyBorder="1" applyAlignment="1" applyProtection="1">
      <alignment shrinkToFit="1"/>
      <protection/>
    </xf>
    <xf numFmtId="0" fontId="55" fillId="36" borderId="6" xfId="0" applyFont="1" applyFill="1" applyBorder="1" applyAlignment="1" applyProtection="1">
      <alignment horizontal="center"/>
      <protection/>
    </xf>
    <xf numFmtId="43" fontId="16" fillId="36" borderId="6" xfId="51" applyNumberFormat="1" applyFont="1" applyFill="1" applyBorder="1" applyAlignment="1" applyProtection="1">
      <alignment shrinkToFit="1"/>
      <protection/>
    </xf>
    <xf numFmtId="172" fontId="16" fillId="36" borderId="6" xfId="51" applyNumberFormat="1" applyFont="1" applyFill="1" applyBorder="1" applyAlignment="1" applyProtection="1">
      <alignment horizontal="right"/>
      <protection/>
    </xf>
    <xf numFmtId="9" fontId="16" fillId="36" borderId="0" xfId="103" applyFont="1" applyFill="1" applyBorder="1" applyAlignment="1" applyProtection="1">
      <alignment/>
      <protection/>
    </xf>
    <xf numFmtId="2" fontId="16" fillId="36" borderId="0" xfId="0" applyNumberFormat="1" applyFont="1" applyFill="1" applyBorder="1" applyAlignment="1" applyProtection="1">
      <alignment/>
      <protection/>
    </xf>
    <xf numFmtId="172" fontId="16" fillId="36" borderId="6" xfId="51" applyNumberFormat="1" applyFont="1" applyFill="1" applyBorder="1" applyAlignment="1" applyProtection="1">
      <alignment shrinkToFit="1"/>
      <protection/>
    </xf>
    <xf numFmtId="0" fontId="16" fillId="36" borderId="18" xfId="0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/>
      <protection/>
    </xf>
    <xf numFmtId="43" fontId="17" fillId="36" borderId="0" xfId="51" applyFont="1" applyFill="1" applyBorder="1" applyAlignment="1" applyProtection="1">
      <alignment shrinkToFit="1"/>
      <protection/>
    </xf>
    <xf numFmtId="43" fontId="54" fillId="36" borderId="6" xfId="51" applyFont="1" applyFill="1" applyBorder="1" applyAlignment="1" applyProtection="1">
      <alignment/>
      <protection/>
    </xf>
    <xf numFmtId="43" fontId="54" fillId="36" borderId="6" xfId="51" applyFont="1" applyFill="1" applyBorder="1" applyAlignment="1" applyProtection="1">
      <alignment shrinkToFit="1"/>
      <protection/>
    </xf>
    <xf numFmtId="172" fontId="54" fillId="36" borderId="6" xfId="51" applyNumberFormat="1" applyFont="1" applyFill="1" applyBorder="1" applyAlignment="1" applyProtection="1">
      <alignment/>
      <protection/>
    </xf>
    <xf numFmtId="43" fontId="54" fillId="36" borderId="0" xfId="51" applyFont="1" applyFill="1" applyAlignment="1" applyProtection="1">
      <alignment/>
      <protection/>
    </xf>
    <xf numFmtId="43" fontId="54" fillId="36" borderId="0" xfId="51" applyFont="1" applyFill="1" applyAlignment="1" applyProtection="1">
      <alignment shrinkToFit="1"/>
      <protection/>
    </xf>
    <xf numFmtId="43" fontId="53" fillId="36" borderId="6" xfId="51" applyFont="1" applyFill="1" applyBorder="1" applyAlignment="1" applyProtection="1">
      <alignment/>
      <protection/>
    </xf>
    <xf numFmtId="172" fontId="54" fillId="36" borderId="6" xfId="51" applyNumberFormat="1" applyFont="1" applyFill="1" applyBorder="1" applyAlignment="1" applyProtection="1">
      <alignment/>
      <protection/>
    </xf>
    <xf numFmtId="43" fontId="54" fillId="36" borderId="14" xfId="51" applyFont="1" applyFill="1" applyBorder="1" applyAlignment="1" applyProtection="1">
      <alignment/>
      <protection/>
    </xf>
    <xf numFmtId="172" fontId="54" fillId="36" borderId="6" xfId="51" applyNumberFormat="1" applyFont="1" applyFill="1" applyBorder="1" applyAlignment="1" applyProtection="1">
      <alignment shrinkToFit="1"/>
      <protection/>
    </xf>
    <xf numFmtId="0" fontId="17" fillId="36" borderId="16" xfId="0" applyFont="1" applyFill="1" applyBorder="1" applyAlignment="1" applyProtection="1">
      <alignment horizontal="left"/>
      <protection locked="0"/>
    </xf>
    <xf numFmtId="0" fontId="56" fillId="36" borderId="17" xfId="0" applyFont="1" applyFill="1" applyBorder="1" applyAlignment="1" applyProtection="1">
      <alignment/>
      <protection locked="0"/>
    </xf>
    <xf numFmtId="0" fontId="56" fillId="36" borderId="17" xfId="0" applyFont="1" applyFill="1" applyBorder="1" applyAlignment="1" applyProtection="1">
      <alignment shrinkToFit="1"/>
      <protection locked="0"/>
    </xf>
    <xf numFmtId="0" fontId="16" fillId="36" borderId="17" xfId="0" applyFont="1" applyFill="1" applyBorder="1" applyAlignment="1" applyProtection="1">
      <alignment shrinkToFit="1"/>
      <protection locked="0"/>
    </xf>
    <xf numFmtId="0" fontId="56" fillId="36" borderId="19" xfId="0" applyFont="1" applyFill="1" applyBorder="1" applyAlignment="1" applyProtection="1">
      <alignment shrinkToFit="1"/>
      <protection locked="0"/>
    </xf>
    <xf numFmtId="0" fontId="1" fillId="36" borderId="0" xfId="0" applyFont="1" applyFill="1" applyAlignment="1" applyProtection="1">
      <alignment/>
      <protection locked="0"/>
    </xf>
    <xf numFmtId="0" fontId="17" fillId="36" borderId="18" xfId="0" applyFont="1" applyFill="1" applyBorder="1" applyAlignment="1" applyProtection="1">
      <alignment horizontal="left"/>
      <protection locked="0"/>
    </xf>
    <xf numFmtId="0" fontId="56" fillId="36" borderId="0" xfId="0" applyFont="1" applyFill="1" applyBorder="1" applyAlignment="1" applyProtection="1">
      <alignment/>
      <protection locked="0"/>
    </xf>
    <xf numFmtId="0" fontId="56" fillId="36" borderId="0" xfId="0" applyFont="1" applyFill="1" applyBorder="1" applyAlignment="1" applyProtection="1">
      <alignment shrinkToFit="1"/>
      <protection locked="0"/>
    </xf>
    <xf numFmtId="0" fontId="56" fillId="36" borderId="20" xfId="0" applyFont="1" applyFill="1" applyBorder="1" applyAlignment="1" applyProtection="1">
      <alignment shrinkToFit="1"/>
      <protection locked="0"/>
    </xf>
    <xf numFmtId="0" fontId="17" fillId="36" borderId="22" xfId="0" applyFont="1" applyFill="1" applyBorder="1" applyAlignment="1" applyProtection="1">
      <alignment horizontal="center"/>
      <protection locked="0"/>
    </xf>
    <xf numFmtId="43" fontId="16" fillId="36" borderId="21" xfId="51" applyNumberFormat="1" applyFont="1" applyFill="1" applyBorder="1" applyAlignment="1" applyProtection="1">
      <alignment shrinkToFit="1"/>
      <protection locked="0"/>
    </xf>
    <xf numFmtId="0" fontId="16" fillId="0" borderId="6" xfId="0" applyFont="1" applyFill="1" applyBorder="1" applyAlignment="1" applyProtection="1">
      <alignment/>
      <protection locked="0"/>
    </xf>
    <xf numFmtId="43" fontId="16" fillId="0" borderId="6" xfId="51" applyNumberFormat="1" applyFont="1" applyFill="1" applyBorder="1" applyAlignment="1" applyProtection="1">
      <alignment shrinkToFit="1"/>
      <protection locked="0"/>
    </xf>
    <xf numFmtId="0" fontId="17" fillId="36" borderId="18" xfId="0" applyFont="1" applyFill="1" applyBorder="1" applyAlignment="1" applyProtection="1">
      <alignment horizontal="center"/>
      <protection locked="0"/>
    </xf>
    <xf numFmtId="43" fontId="17" fillId="36" borderId="20" xfId="51" applyFont="1" applyFill="1" applyBorder="1" applyAlignment="1" applyProtection="1">
      <alignment shrinkToFit="1"/>
      <protection locked="0"/>
    </xf>
    <xf numFmtId="43" fontId="1" fillId="36" borderId="0" xfId="0" applyNumberFormat="1" applyFont="1" applyFill="1" applyAlignment="1" applyProtection="1">
      <alignment shrinkToFit="1"/>
      <protection locked="0"/>
    </xf>
    <xf numFmtId="0" fontId="58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 shrinkToFit="1"/>
      <protection locked="0"/>
    </xf>
    <xf numFmtId="43" fontId="0" fillId="36" borderId="0" xfId="0" applyNumberFormat="1" applyFont="1" applyFill="1" applyAlignment="1" applyProtection="1">
      <alignment shrinkToFit="1"/>
      <protection locked="0"/>
    </xf>
    <xf numFmtId="43" fontId="0" fillId="36" borderId="0" xfId="51" applyFont="1" applyFill="1" applyAlignment="1" applyProtection="1">
      <alignment shrinkToFit="1"/>
      <protection locked="0"/>
    </xf>
    <xf numFmtId="10" fontId="0" fillId="36" borderId="0" xfId="103" applyNumberFormat="1" applyFont="1" applyFill="1" applyAlignment="1" applyProtection="1">
      <alignment shrinkToFit="1"/>
      <protection locked="0"/>
    </xf>
    <xf numFmtId="0" fontId="1" fillId="36" borderId="0" xfId="0" applyFont="1" applyFill="1" applyAlignment="1" applyProtection="1">
      <alignment shrinkToFit="1"/>
      <protection locked="0"/>
    </xf>
    <xf numFmtId="9" fontId="1" fillId="36" borderId="0" xfId="0" applyNumberFormat="1" applyFont="1" applyFill="1" applyAlignment="1" applyProtection="1">
      <alignment/>
      <protection locked="0"/>
    </xf>
    <xf numFmtId="0" fontId="62" fillId="36" borderId="18" xfId="0" applyFont="1" applyFill="1" applyBorder="1" applyAlignment="1" applyProtection="1">
      <alignment/>
      <protection/>
    </xf>
    <xf numFmtId="0" fontId="57" fillId="36" borderId="0" xfId="0" applyFont="1" applyFill="1" applyBorder="1" applyAlignment="1" applyProtection="1">
      <alignment horizontal="center"/>
      <protection/>
    </xf>
    <xf numFmtId="0" fontId="57" fillId="36" borderId="0" xfId="0" applyFont="1" applyFill="1" applyBorder="1" applyAlignment="1" applyProtection="1">
      <alignment horizontal="center" shrinkToFit="1"/>
      <protection/>
    </xf>
    <xf numFmtId="0" fontId="17" fillId="36" borderId="0" xfId="0" applyFont="1" applyFill="1" applyBorder="1" applyAlignment="1" applyProtection="1">
      <alignment horizontal="right" shrinkToFit="1"/>
      <protection/>
    </xf>
    <xf numFmtId="0" fontId="17" fillId="36" borderId="0" xfId="0" applyFont="1" applyFill="1" applyBorder="1" applyAlignment="1" applyProtection="1">
      <alignment horizontal="left" shrinkToFit="1"/>
      <protection/>
    </xf>
    <xf numFmtId="0" fontId="1" fillId="36" borderId="20" xfId="0" applyFont="1" applyFill="1" applyBorder="1" applyAlignment="1" applyProtection="1">
      <alignment shrinkToFit="1"/>
      <protection/>
    </xf>
    <xf numFmtId="0" fontId="17" fillId="36" borderId="22" xfId="0" applyFont="1" applyFill="1" applyBorder="1" applyAlignment="1" applyProtection="1">
      <alignment horizontal="center"/>
      <protection/>
    </xf>
    <xf numFmtId="0" fontId="17" fillId="36" borderId="6" xfId="0" applyNumberFormat="1" applyFont="1" applyFill="1" applyBorder="1" applyAlignment="1" applyProtection="1">
      <alignment horizontal="center" shrinkToFit="1"/>
      <protection/>
    </xf>
    <xf numFmtId="43" fontId="17" fillId="36" borderId="22" xfId="51" applyFont="1" applyFill="1" applyBorder="1" applyAlignment="1" applyProtection="1">
      <alignment horizontal="center"/>
      <protection/>
    </xf>
    <xf numFmtId="43" fontId="17" fillId="36" borderId="6" xfId="51" applyNumberFormat="1" applyFont="1" applyFill="1" applyBorder="1" applyAlignment="1" applyProtection="1">
      <alignment shrinkToFit="1"/>
      <protection/>
    </xf>
    <xf numFmtId="43" fontId="16" fillId="36" borderId="21" xfId="51" applyNumberFormat="1" applyFont="1" applyFill="1" applyBorder="1" applyAlignment="1" applyProtection="1">
      <alignment shrinkToFit="1"/>
      <protection/>
    </xf>
    <xf numFmtId="43" fontId="17" fillId="0" borderId="6" xfId="51" applyNumberFormat="1" applyFont="1" applyFill="1" applyBorder="1" applyAlignment="1" applyProtection="1">
      <alignment shrinkToFit="1"/>
      <protection/>
    </xf>
    <xf numFmtId="43" fontId="17" fillId="36" borderId="21" xfId="51" applyNumberFormat="1" applyFont="1" applyFill="1" applyBorder="1" applyAlignment="1" applyProtection="1">
      <alignment shrinkToFit="1"/>
      <protection/>
    </xf>
    <xf numFmtId="43" fontId="16" fillId="36" borderId="22" xfId="51" applyFont="1" applyFill="1" applyBorder="1" applyAlignment="1" applyProtection="1">
      <alignment/>
      <protection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1" fontId="16" fillId="0" borderId="27" xfId="17" applyNumberFormat="1" applyFont="1" applyBorder="1" applyAlignment="1">
      <alignment horizontal="center"/>
    </xf>
    <xf numFmtId="2" fontId="16" fillId="0" borderId="21" xfId="17" applyNumberFormat="1" applyFont="1" applyBorder="1" applyAlignment="1">
      <alignment horizontal="right"/>
    </xf>
    <xf numFmtId="2" fontId="16" fillId="0" borderId="24" xfId="17" applyNumberFormat="1" applyFont="1" applyBorder="1" applyAlignment="1">
      <alignment horizontal="right"/>
    </xf>
    <xf numFmtId="0" fontId="16" fillId="36" borderId="17" xfId="0" applyFont="1" applyFill="1" applyBorder="1" applyAlignment="1" applyProtection="1">
      <alignment/>
      <protection locked="0"/>
    </xf>
    <xf numFmtId="0" fontId="16" fillId="36" borderId="19" xfId="0" applyFont="1" applyFill="1" applyBorder="1" applyAlignment="1" applyProtection="1">
      <alignment shrinkToFit="1"/>
      <protection locked="0"/>
    </xf>
    <xf numFmtId="0" fontId="16" fillId="36" borderId="0" xfId="0" applyFont="1" applyFill="1" applyAlignment="1" applyProtection="1">
      <alignment/>
      <protection locked="0"/>
    </xf>
    <xf numFmtId="0" fontId="16" fillId="36" borderId="0" xfId="0" applyFont="1" applyFill="1" applyBorder="1" applyAlignment="1" applyProtection="1">
      <alignment shrinkToFit="1"/>
      <protection locked="0"/>
    </xf>
    <xf numFmtId="0" fontId="16" fillId="36" borderId="20" xfId="0" applyFont="1" applyFill="1" applyBorder="1" applyAlignment="1" applyProtection="1">
      <alignment shrinkToFit="1"/>
      <protection locked="0"/>
    </xf>
    <xf numFmtId="0" fontId="18" fillId="50" borderId="18" xfId="0" applyFont="1" applyFill="1" applyBorder="1" applyAlignment="1" applyProtection="1">
      <alignment horizontal="center"/>
      <protection locked="0"/>
    </xf>
    <xf numFmtId="0" fontId="18" fillId="50" borderId="0" xfId="0" applyFont="1" applyFill="1" applyBorder="1" applyAlignment="1" applyProtection="1">
      <alignment horizontal="center"/>
      <protection locked="0"/>
    </xf>
    <xf numFmtId="0" fontId="61" fillId="36" borderId="22" xfId="0" applyFont="1" applyFill="1" applyBorder="1" applyAlignment="1" applyProtection="1">
      <alignment horizontal="center" shrinkToFit="1"/>
      <protection locked="0"/>
    </xf>
    <xf numFmtId="0" fontId="60" fillId="36" borderId="22" xfId="0" applyFont="1" applyFill="1" applyBorder="1" applyAlignment="1" applyProtection="1">
      <alignment/>
      <protection locked="0"/>
    </xf>
    <xf numFmtId="43" fontId="60" fillId="36" borderId="22" xfId="51" applyFont="1" applyFill="1" applyBorder="1" applyAlignment="1" applyProtection="1">
      <alignment/>
      <protection locked="0"/>
    </xf>
    <xf numFmtId="9" fontId="16" fillId="36" borderId="6" xfId="0" applyNumberFormat="1" applyFont="1" applyFill="1" applyBorder="1" applyAlignment="1" applyProtection="1">
      <alignment/>
      <protection locked="0"/>
    </xf>
    <xf numFmtId="0" fontId="16" fillId="36" borderId="22" xfId="0" applyFont="1" applyFill="1" applyBorder="1" applyAlignment="1" applyProtection="1">
      <alignment/>
      <protection locked="0"/>
    </xf>
    <xf numFmtId="0" fontId="16" fillId="36" borderId="46" xfId="0" applyFont="1" applyFill="1" applyBorder="1" applyAlignment="1" applyProtection="1">
      <alignment/>
      <protection locked="0"/>
    </xf>
    <xf numFmtId="0" fontId="16" fillId="36" borderId="47" xfId="0" applyFont="1" applyFill="1" applyBorder="1" applyAlignment="1" applyProtection="1">
      <alignment/>
      <protection locked="0"/>
    </xf>
    <xf numFmtId="0" fontId="16" fillId="36" borderId="47" xfId="0" applyFont="1" applyFill="1" applyBorder="1" applyAlignment="1" applyProtection="1">
      <alignment shrinkToFit="1"/>
      <protection locked="0"/>
    </xf>
    <xf numFmtId="0" fontId="16" fillId="36" borderId="48" xfId="0" applyFont="1" applyFill="1" applyBorder="1" applyAlignment="1" applyProtection="1">
      <alignment shrinkToFit="1"/>
      <protection locked="0"/>
    </xf>
    <xf numFmtId="0" fontId="16" fillId="36" borderId="0" xfId="0" applyFont="1" applyFill="1" applyAlignment="1" applyProtection="1">
      <alignment shrinkToFit="1"/>
      <protection locked="0"/>
    </xf>
    <xf numFmtId="0" fontId="55" fillId="36" borderId="6" xfId="0" applyFont="1" applyFill="1" applyBorder="1" applyAlignment="1" applyProtection="1">
      <alignment horizontal="center"/>
      <protection/>
    </xf>
    <xf numFmtId="0" fontId="55" fillId="36" borderId="6" xfId="0" applyFont="1" applyFill="1" applyBorder="1" applyAlignment="1" applyProtection="1">
      <alignment/>
      <protection/>
    </xf>
    <xf numFmtId="0" fontId="24" fillId="36" borderId="6" xfId="0" applyNumberFormat="1" applyFont="1" applyFill="1" applyBorder="1" applyAlignment="1" applyProtection="1">
      <alignment horizontal="center"/>
      <protection/>
    </xf>
    <xf numFmtId="0" fontId="24" fillId="36" borderId="44" xfId="0" applyNumberFormat="1" applyFont="1" applyFill="1" applyBorder="1" applyAlignment="1" applyProtection="1">
      <alignment horizontal="center"/>
      <protection/>
    </xf>
    <xf numFmtId="0" fontId="16" fillId="36" borderId="6" xfId="0" applyFont="1" applyFill="1" applyBorder="1" applyAlignment="1" applyProtection="1">
      <alignment shrinkToFit="1"/>
      <protection/>
    </xf>
    <xf numFmtId="0" fontId="16" fillId="36" borderId="44" xfId="0" applyFont="1" applyFill="1" applyBorder="1" applyAlignment="1" applyProtection="1">
      <alignment shrinkToFit="1"/>
      <protection/>
    </xf>
    <xf numFmtId="9" fontId="16" fillId="36" borderId="6" xfId="103" applyFont="1" applyFill="1" applyBorder="1" applyAlignment="1" applyProtection="1">
      <alignment shrinkToFit="1"/>
      <protection/>
    </xf>
    <xf numFmtId="43" fontId="16" fillId="36" borderId="44" xfId="51" applyFont="1" applyFill="1" applyBorder="1" applyAlignment="1" applyProtection="1">
      <alignment shrinkToFit="1"/>
      <protection/>
    </xf>
    <xf numFmtId="0" fontId="16" fillId="36" borderId="0" xfId="0" applyFont="1" applyFill="1" applyBorder="1" applyAlignment="1" applyProtection="1">
      <alignment shrinkToFit="1"/>
      <protection/>
    </xf>
    <xf numFmtId="43" fontId="16" fillId="36" borderId="6" xfId="0" applyNumberFormat="1" applyFont="1" applyFill="1" applyBorder="1" applyAlignment="1" applyProtection="1">
      <alignment shrinkToFit="1"/>
      <protection/>
    </xf>
    <xf numFmtId="43" fontId="16" fillId="36" borderId="44" xfId="0" applyNumberFormat="1" applyFont="1" applyFill="1" applyBorder="1" applyAlignment="1" applyProtection="1">
      <alignment shrinkToFit="1"/>
      <protection/>
    </xf>
    <xf numFmtId="0" fontId="24" fillId="36" borderId="74" xfId="0" applyNumberFormat="1" applyFont="1" applyFill="1" applyBorder="1" applyAlignment="1" applyProtection="1">
      <alignment horizontal="center"/>
      <protection/>
    </xf>
    <xf numFmtId="0" fontId="16" fillId="36" borderId="74" xfId="0" applyFont="1" applyFill="1" applyBorder="1" applyAlignment="1" applyProtection="1">
      <alignment shrinkToFit="1"/>
      <protection/>
    </xf>
    <xf numFmtId="43" fontId="16" fillId="36" borderId="74" xfId="51" applyFont="1" applyFill="1" applyBorder="1" applyAlignment="1" applyProtection="1">
      <alignment shrinkToFit="1"/>
      <protection/>
    </xf>
    <xf numFmtId="0" fontId="16" fillId="36" borderId="20" xfId="0" applyFont="1" applyFill="1" applyBorder="1" applyAlignment="1" applyProtection="1">
      <alignment shrinkToFit="1"/>
      <protection/>
    </xf>
    <xf numFmtId="43" fontId="16" fillId="36" borderId="74" xfId="0" applyNumberFormat="1" applyFont="1" applyFill="1" applyBorder="1" applyAlignment="1" applyProtection="1">
      <alignment shrinkToFit="1"/>
      <protection/>
    </xf>
    <xf numFmtId="10" fontId="16" fillId="36" borderId="6" xfId="0" applyNumberFormat="1" applyFont="1" applyFill="1" applyBorder="1" applyAlignment="1" applyProtection="1">
      <alignment/>
      <protection/>
    </xf>
    <xf numFmtId="43" fontId="16" fillId="36" borderId="6" xfId="0" applyNumberFormat="1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 shrinkToFit="1"/>
      <protection/>
    </xf>
  </cellXfs>
  <cellStyles count="106">
    <cellStyle name="Normal" xfId="0"/>
    <cellStyle name="_Exchange Ratio" xfId="15"/>
    <cellStyle name="_Phoenix Mills Valuation" xfId="16"/>
    <cellStyle name="=C:\WINNT\SYSTEM32\COMMAND.COM" xfId="17"/>
    <cellStyle name="07_Bold table text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order" xfId="44"/>
    <cellStyle name="Calculation" xfId="45"/>
    <cellStyle name="Check Cell" xfId="46"/>
    <cellStyle name="col" xfId="47"/>
    <cellStyle name="col.header" xfId="48"/>
    <cellStyle name="Column Header" xfId="49"/>
    <cellStyle name="columnheader" xfId="50"/>
    <cellStyle name="Comma" xfId="51"/>
    <cellStyle name="Comma  - Style1" xfId="52"/>
    <cellStyle name="Comma  - Style2" xfId="53"/>
    <cellStyle name="Comma  - Style3" xfId="54"/>
    <cellStyle name="Comma  - Style4" xfId="55"/>
    <cellStyle name="Comma  - Style5" xfId="56"/>
    <cellStyle name="Comma  - Style6" xfId="57"/>
    <cellStyle name="Comma  - Style7" xfId="58"/>
    <cellStyle name="Comma  - Style8" xfId="59"/>
    <cellStyle name="Comma [0]" xfId="60"/>
    <cellStyle name="Comma 2" xfId="61"/>
    <cellStyle name="CurreÀ" xfId="62"/>
    <cellStyle name="Currency" xfId="63"/>
    <cellStyle name="Currency [0]" xfId="64"/>
    <cellStyle name="Data Area" xfId="65"/>
    <cellStyle name="Explanatory Text" xfId="66"/>
    <cellStyle name="Followed Hyperlink" xfId="67"/>
    <cellStyle name="Formula" xfId="68"/>
    <cellStyle name="Good" xfId="69"/>
    <cellStyle name="Grey" xfId="70"/>
    <cellStyle name="Header" xfId="71"/>
    <cellStyle name="Heading" xfId="72"/>
    <cellStyle name="Heading 1" xfId="73"/>
    <cellStyle name="Heading 2" xfId="74"/>
    <cellStyle name="Heading 3" xfId="75"/>
    <cellStyle name="Heading 4" xfId="76"/>
    <cellStyle name="Heading 5" xfId="77"/>
    <cellStyle name="Heading 6" xfId="78"/>
    <cellStyle name="Hyperlink" xfId="79"/>
    <cellStyle name="Input" xfId="80"/>
    <cellStyle name="Input [yellow]" xfId="81"/>
    <cellStyle name="JAB" xfId="82"/>
    <cellStyle name="Linked Cell" xfId="83"/>
    <cellStyle name="Links - Style1" xfId="84"/>
    <cellStyle name="Milliers [0]_laroux" xfId="85"/>
    <cellStyle name="Milliers_laroux" xfId="86"/>
    <cellStyle name="Monétaire [0]_laroux" xfId="87"/>
    <cellStyle name="Monétaire_laroux" xfId="88"/>
    <cellStyle name="Neutral" xfId="89"/>
    <cellStyle name="no dec" xfId="90"/>
    <cellStyle name="Normal - Style1" xfId="91"/>
    <cellStyle name="Normal 2" xfId="92"/>
    <cellStyle name="Normal Bold" xfId="93"/>
    <cellStyle name="Normal_SSWL Existing Valuation" xfId="94"/>
    <cellStyle name="Normal_unit 2 - with expansion" xfId="95"/>
    <cellStyle name="Note" xfId="96"/>
    <cellStyle name="Output" xfId="97"/>
    <cellStyle name="Output Amounts" xfId="98"/>
    <cellStyle name="Output Column Headings" xfId="99"/>
    <cellStyle name="Output Line Items" xfId="100"/>
    <cellStyle name="Output Report Heading" xfId="101"/>
    <cellStyle name="Output Report Title" xfId="102"/>
    <cellStyle name="Percent" xfId="103"/>
    <cellStyle name="Percent [2]" xfId="104"/>
    <cellStyle name="Percent 2" xfId="105"/>
    <cellStyle name="Source" xfId="106"/>
    <cellStyle name="Style 1" xfId="107"/>
    <cellStyle name="Style 27" xfId="108"/>
    <cellStyle name="Style 33" xfId="109"/>
    <cellStyle name="switzerland" xfId="110"/>
    <cellStyle name="table" xfId="111"/>
    <cellStyle name="Title" xfId="112"/>
    <cellStyle name="Title01" xfId="113"/>
    <cellStyle name="Title03" xfId="114"/>
    <cellStyle name="Total" xfId="115"/>
    <cellStyle name="Warning Text" xfId="116"/>
    <cellStyle name="통화 [0]_9634매출 " xfId="117"/>
    <cellStyle name="통화_9634매출 " xfId="118"/>
    <cellStyle name="표준_0N-HANDLING 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152400</xdr:rowOff>
    </xdr:from>
    <xdr:to>
      <xdr:col>2</xdr:col>
      <xdr:colOff>152400</xdr:colOff>
      <xdr:row>8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123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7</xdr:row>
      <xdr:rowOff>0</xdr:rowOff>
    </xdr:from>
    <xdr:to>
      <xdr:col>2</xdr:col>
      <xdr:colOff>152400</xdr:colOff>
      <xdr:row>8</xdr:row>
      <xdr:rowOff>19050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133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8</xdr:row>
      <xdr:rowOff>9525</xdr:rowOff>
    </xdr:from>
    <xdr:to>
      <xdr:col>2</xdr:col>
      <xdr:colOff>152400</xdr:colOff>
      <xdr:row>9</xdr:row>
      <xdr:rowOff>28575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04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woolkar\finance\Sanjay_Hatkar\sundar\acct_server\CORPORAT\CASHF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rsawant\c\TAX\TAUDFY2021\ITAX97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dhir\d\Presentation%20to%20Edelwise%205.1\Documents%20and%20Settings\niraj\My%20Documents\Work\BHEL\Correspondence\DEC02-DesignchgLEASECHNG-F20Yr25CATT-Subst%20-%20GovSupport2CONTG%20-%20Freq%2010-%2013.9.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dhir\d\Documents%20and%20Settings\ILFS\Desktop\Market%20City%20Chennai\cris%20infa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_SERVER\MAIN_FIN\WINDOWS\TEMP\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_SERVER\MAIN_FIN\Budget%2004-06\Sundaresan\Documents%20and%20Settings\RSUNDAR\My%20Documents\business-plan-2002-Sensitivity(working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sudhir-shringare\Desktop\Desktop%20DATA\GSPC\subsidiary\final%20valuationmodels\Valuation%20-working%20y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woolkar\finance\Sanjay_Hatkar\sundar\acct_server\CORPORAT\F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C.Duty"/>
      <sheetName val="Fuel"/>
      <sheetName val="Fe.Al"/>
      <sheetName val="Refr."/>
      <sheetName val="Engg.Spares"/>
      <sheetName val="Transp"/>
      <sheetName val="Khopoli"/>
      <sheetName val="Sheet2"/>
      <sheetName val="Sheet3"/>
      <sheetName val="CF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Int"/>
      <sheetName val="Index"/>
      <sheetName val="TDS"/>
      <sheetName val="Assets"/>
      <sheetName val="mustx"/>
      <sheetName val="contx"/>
      <sheetName val="Wealth.t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ute (1)"/>
      <sheetName val="Route (2)"/>
      <sheetName val="Route (3)"/>
      <sheetName val="PeakHrs"/>
      <sheetName val="PeakHrs (Ph1)"/>
      <sheetName val="OffpeakHrs"/>
      <sheetName val="OffpeakHrs (Ph1)"/>
      <sheetName val="LeanHrs"/>
      <sheetName val="LeanHrs (Ph1)"/>
      <sheetName val="Full Corridor"/>
      <sheetName val="R3Schedule"/>
      <sheetName val="R2Schedule"/>
      <sheetName val="R1Schedule"/>
      <sheetName val="R123Sch"/>
      <sheetName val="SeniorCitiz"/>
      <sheetName val="Student"/>
      <sheetName val="Worker"/>
      <sheetName val="Housewife"/>
      <sheetName val="Occasional"/>
      <sheetName val="Combine"/>
      <sheetName val="Cost Sheet (2)"/>
      <sheetName val="Assumptions"/>
      <sheetName val="Asset Schedule (SLM)"/>
      <sheetName val="Asset Schedule (WDV)"/>
      <sheetName val="Farebox"/>
      <sheetName val="Cost Sheet"/>
      <sheetName val="irr"/>
      <sheetName val="P&amp;L, dscr"/>
      <sheetName val="Tax"/>
      <sheetName val="COP &amp; MOF"/>
      <sheetName val="Cash flow, Pybk"/>
      <sheetName val="BS, loan"/>
      <sheetName val="irr (dly1)"/>
      <sheetName val="irr (dly2)"/>
      <sheetName val="irr (dly3)"/>
      <sheetName val="summary"/>
    </sheetNames>
    <sheetDataSet>
      <sheetData sheetId="21">
        <row r="20">
          <cell r="B20">
            <v>10.764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is inf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SC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les MT"/>
      <sheetName val="Sales Rs"/>
      <sheetName val="Cost of Sales"/>
      <sheetName val="Contribution"/>
      <sheetName val="EBIDT"/>
      <sheetName val="EBIT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Cost-Saving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V"/>
      <sheetName val="NAV"/>
      <sheetName val="INV"/>
      <sheetName val="CL"/>
      <sheetName val="ECV"/>
      <sheetName val="ADJ PBT"/>
      <sheetName val="DCF"/>
      <sheetName val="WC &amp; TAX"/>
      <sheetName val="WAC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S99"/>
      <sheetName val="SCH99"/>
      <sheetName val="GROUP_99 "/>
      <sheetName val="SCH99_E"/>
      <sheetName val="ASSET_99 "/>
      <sheetName val="BS99 (2)"/>
    </sheetNames>
    <sheetDataSet>
      <sheetData sheetId="4">
        <row r="11">
          <cell r="K11">
            <v>8827615</v>
          </cell>
        </row>
        <row r="17">
          <cell r="K17">
            <v>17500000</v>
          </cell>
        </row>
        <row r="23">
          <cell r="K23">
            <v>133021610</v>
          </cell>
        </row>
        <row r="35">
          <cell r="K35">
            <v>440576783</v>
          </cell>
        </row>
        <row r="42">
          <cell r="K42">
            <v>3637103</v>
          </cell>
        </row>
        <row r="48">
          <cell r="K48">
            <v>3993664</v>
          </cell>
        </row>
        <row r="58">
          <cell r="K58">
            <v>49308665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374" customWidth="1"/>
    <col min="2" max="2" width="8.140625" style="374" bestFit="1" customWidth="1"/>
    <col min="3" max="3" width="81.57421875" style="375" customWidth="1"/>
    <col min="4" max="16384" width="9.140625" style="374" customWidth="1"/>
  </cols>
  <sheetData>
    <row r="2" spans="2:3" ht="12.75">
      <c r="B2" s="435" t="s">
        <v>251</v>
      </c>
      <c r="C2" s="435" t="s">
        <v>348</v>
      </c>
    </row>
    <row r="3" spans="2:3" ht="12.75">
      <c r="B3" s="89">
        <f>Parameters!A3</f>
        <v>1</v>
      </c>
      <c r="C3" s="437" t="s">
        <v>346</v>
      </c>
    </row>
    <row r="4" spans="2:3" ht="38.25">
      <c r="B4" s="89">
        <f>Parameters!A4</f>
        <v>2</v>
      </c>
      <c r="C4" s="437" t="s">
        <v>366</v>
      </c>
    </row>
    <row r="5" spans="2:3" ht="12.75">
      <c r="B5" s="436">
        <f>Parameters!A6</f>
        <v>3</v>
      </c>
      <c r="C5" s="436" t="s">
        <v>370</v>
      </c>
    </row>
    <row r="6" spans="2:3" ht="25.5">
      <c r="B6" s="89">
        <f>Parameters!A7</f>
        <v>4</v>
      </c>
      <c r="C6" s="437" t="s">
        <v>347</v>
      </c>
    </row>
    <row r="7" spans="2:3" ht="51">
      <c r="B7" s="89">
        <f>Parameters!A15</f>
        <v>5</v>
      </c>
      <c r="C7" s="437" t="s">
        <v>371</v>
      </c>
    </row>
    <row r="8" spans="2:3" ht="12.75">
      <c r="B8" s="89">
        <f>Parameters!A16</f>
        <v>6</v>
      </c>
      <c r="C8" s="437" t="s">
        <v>328</v>
      </c>
    </row>
    <row r="9" spans="2:3" ht="25.5">
      <c r="B9" s="89">
        <f>Parameters!A17</f>
        <v>7</v>
      </c>
      <c r="C9" s="437" t="s">
        <v>372</v>
      </c>
    </row>
    <row r="10" spans="2:3" ht="25.5">
      <c r="B10" s="89">
        <f>Parameters!A22</f>
        <v>8</v>
      </c>
      <c r="C10" s="437" t="s">
        <v>365</v>
      </c>
    </row>
    <row r="11" spans="2:3" ht="25.5">
      <c r="B11" s="89">
        <f>Parameters!A23</f>
        <v>9</v>
      </c>
      <c r="C11" s="437" t="s">
        <v>329</v>
      </c>
    </row>
    <row r="12" spans="2:3" ht="38.25">
      <c r="B12" s="89">
        <f>Parameters!A24</f>
        <v>10</v>
      </c>
      <c r="C12" s="437" t="s">
        <v>330</v>
      </c>
    </row>
    <row r="13" spans="2:3" ht="25.5">
      <c r="B13" s="89">
        <f>Parameters!A26</f>
        <v>11</v>
      </c>
      <c r="C13" s="437" t="s">
        <v>331</v>
      </c>
    </row>
    <row r="14" spans="2:3" ht="25.5">
      <c r="B14" s="89">
        <f>Parameters!A27</f>
        <v>12</v>
      </c>
      <c r="C14" s="437" t="s">
        <v>332</v>
      </c>
    </row>
    <row r="15" spans="2:3" ht="25.5">
      <c r="B15" s="89">
        <f>Parameters!A29</f>
        <v>13</v>
      </c>
      <c r="C15" s="437" t="s">
        <v>373</v>
      </c>
    </row>
    <row r="16" spans="2:3" ht="25.5">
      <c r="B16" s="89">
        <f>Parameters!A30</f>
        <v>14</v>
      </c>
      <c r="C16" s="437" t="s">
        <v>374</v>
      </c>
    </row>
    <row r="17" spans="2:3" ht="39" customHeight="1">
      <c r="B17" s="89">
        <f>Parameters!A32</f>
        <v>15</v>
      </c>
      <c r="C17" s="437" t="s">
        <v>375</v>
      </c>
    </row>
    <row r="18" spans="2:3" ht="25.5">
      <c r="B18" s="89">
        <f>Parameters!A33</f>
        <v>16</v>
      </c>
      <c r="C18" s="437" t="s">
        <v>333</v>
      </c>
    </row>
    <row r="19" spans="2:3" ht="27" customHeight="1">
      <c r="B19" s="89">
        <f>Parameters!A35</f>
        <v>17</v>
      </c>
      <c r="C19" s="437" t="s">
        <v>376</v>
      </c>
    </row>
    <row r="20" spans="2:3" ht="25.5">
      <c r="B20" s="89">
        <f>Parameters!A36</f>
        <v>18</v>
      </c>
      <c r="C20" s="437" t="s">
        <v>334</v>
      </c>
    </row>
    <row r="21" spans="2:3" ht="25.5">
      <c r="B21" s="89">
        <f>Parameters!A38</f>
        <v>19</v>
      </c>
      <c r="C21" s="437" t="s">
        <v>335</v>
      </c>
    </row>
    <row r="22" spans="2:3" ht="25.5">
      <c r="B22" s="89">
        <f>Parameters!A42</f>
        <v>20</v>
      </c>
      <c r="C22" s="437" t="s">
        <v>367</v>
      </c>
    </row>
    <row r="23" spans="2:3" ht="12.75">
      <c r="B23" s="89">
        <f>Parameters!A46</f>
        <v>21</v>
      </c>
      <c r="C23" s="437" t="s">
        <v>336</v>
      </c>
    </row>
    <row r="24" spans="2:3" ht="51">
      <c r="B24" s="89">
        <f>Parameters!A49</f>
        <v>22</v>
      </c>
      <c r="C24" s="437" t="s">
        <v>377</v>
      </c>
    </row>
    <row r="25" spans="2:3" ht="38.25">
      <c r="B25" s="89">
        <f>Parameters!A63</f>
        <v>23</v>
      </c>
      <c r="C25" s="437" t="s">
        <v>337</v>
      </c>
    </row>
    <row r="26" spans="2:3" ht="25.5">
      <c r="B26" s="89">
        <f>Parameters!A73</f>
        <v>24</v>
      </c>
      <c r="C26" s="437" t="s">
        <v>338</v>
      </c>
    </row>
    <row r="27" spans="2:3" ht="12.75">
      <c r="B27" s="89">
        <f>Parameters!A78</f>
        <v>25</v>
      </c>
      <c r="C27" s="437" t="s">
        <v>339</v>
      </c>
    </row>
    <row r="28" spans="2:3" ht="25.5">
      <c r="B28" s="89">
        <f>Parameters!A83</f>
        <v>26</v>
      </c>
      <c r="C28" s="437" t="s">
        <v>340</v>
      </c>
    </row>
    <row r="29" spans="2:3" ht="38.25">
      <c r="B29" s="89">
        <f>Parameters!A89</f>
        <v>27</v>
      </c>
      <c r="C29" s="437" t="s">
        <v>368</v>
      </c>
    </row>
    <row r="30" spans="2:3" ht="25.5">
      <c r="B30" s="89">
        <f>Parameters!A99</f>
        <v>28</v>
      </c>
      <c r="C30" s="437" t="s">
        <v>345</v>
      </c>
    </row>
    <row r="31" spans="2:3" ht="12.75">
      <c r="B31" s="89">
        <f>Parameters!A101</f>
        <v>29</v>
      </c>
      <c r="C31" s="437" t="s">
        <v>341</v>
      </c>
    </row>
    <row r="32" spans="2:3" ht="51">
      <c r="B32" s="89">
        <f>Parameters!A103</f>
        <v>30</v>
      </c>
      <c r="C32" s="437" t="s">
        <v>342</v>
      </c>
    </row>
    <row r="33" spans="2:3" ht="25.5">
      <c r="B33" s="89">
        <f>Parameters!A106</f>
        <v>31</v>
      </c>
      <c r="C33" s="437" t="s">
        <v>343</v>
      </c>
    </row>
    <row r="34" spans="2:3" ht="25.5">
      <c r="B34" s="89">
        <f>Parameters!A108</f>
        <v>32</v>
      </c>
      <c r="C34" s="437" t="s">
        <v>344</v>
      </c>
    </row>
    <row r="35" spans="2:3" ht="38.25">
      <c r="B35" s="89">
        <f>Parameters!A111</f>
        <v>33</v>
      </c>
      <c r="C35" s="437" t="s">
        <v>369</v>
      </c>
    </row>
    <row r="36" spans="2:3" ht="12.75">
      <c r="B36" s="437">
        <f>Parameters!A115</f>
        <v>34</v>
      </c>
      <c r="C36" s="437" t="s">
        <v>350</v>
      </c>
    </row>
    <row r="37" spans="2:3" ht="12.75">
      <c r="B37" s="437">
        <f>Parameters!A116</f>
        <v>35</v>
      </c>
      <c r="C37" s="437" t="s">
        <v>378</v>
      </c>
    </row>
    <row r="38" spans="2:3" ht="12.75">
      <c r="B38" s="437">
        <v>36</v>
      </c>
      <c r="C38" s="437" t="s">
        <v>351</v>
      </c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</sheetData>
  <sheetProtection password="DAD4" sheet="1"/>
  <printOptions/>
  <pageMargins left="0.7" right="0.7" top="0.75" bottom="0.75" header="0.3" footer="0.3"/>
  <pageSetup horizontalDpi="600" verticalDpi="600" orientation="portrait" r:id="rId1"/>
  <headerFooter>
    <oddHeader xml:space="preserve">&amp;CPartial Risk Guarantee for Energy Efficiency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N30"/>
  <sheetViews>
    <sheetView zoomScale="97" zoomScaleNormal="97" workbookViewId="0" topLeftCell="A1">
      <selection activeCell="J7" sqref="J7"/>
    </sheetView>
  </sheetViews>
  <sheetFormatPr defaultColWidth="0" defaultRowHeight="12.75" zeroHeight="1"/>
  <cols>
    <col min="1" max="1" width="9.57421875" style="22" customWidth="1"/>
    <col min="2" max="2" width="28.421875" style="22" customWidth="1"/>
    <col min="3" max="3" width="9.8515625" style="22" customWidth="1"/>
    <col min="4" max="13" width="12.7109375" style="208" customWidth="1"/>
    <col min="14" max="14" width="1.28515625" style="22" customWidth="1"/>
    <col min="15" max="15" width="9.7109375" style="22" hidden="1" customWidth="1"/>
    <col min="16" max="16384" width="0" style="22" hidden="1" customWidth="1"/>
  </cols>
  <sheetData>
    <row r="1" spans="1:13" ht="12.75">
      <c r="A1" s="251" t="str">
        <f>'P&amp;L'!A1</f>
        <v>Darashaw &amp; Co.</v>
      </c>
      <c r="B1" s="180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2.75">
      <c r="A2" s="252" t="str">
        <f>'P&amp;L'!A2</f>
        <v>Shirdi Nagar Panchyat Street Light</v>
      </c>
      <c r="B2" s="23"/>
      <c r="C2" s="23"/>
      <c r="D2" s="186"/>
      <c r="E2" s="186"/>
      <c r="F2" s="186"/>
      <c r="G2" s="186"/>
      <c r="H2" s="186"/>
      <c r="I2" s="186"/>
      <c r="J2" s="186"/>
      <c r="K2" s="186"/>
      <c r="L2" s="186"/>
      <c r="M2" s="187"/>
    </row>
    <row r="3" spans="1:13" ht="12.75">
      <c r="A3" s="188"/>
      <c r="B3" s="23"/>
      <c r="C3" s="23"/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13" ht="12.75">
      <c r="A4" s="440" t="s">
        <v>104</v>
      </c>
      <c r="B4" s="23"/>
      <c r="C4" s="23"/>
      <c r="D4" s="186"/>
      <c r="E4" s="186"/>
      <c r="F4" s="186"/>
      <c r="G4" s="186"/>
      <c r="H4" s="186"/>
      <c r="I4" s="189" t="s">
        <v>127</v>
      </c>
      <c r="J4" s="241" t="str">
        <f>CONCATENATE(Parameters!C11," ",Parameters!C12)</f>
        <v>INR Lacs</v>
      </c>
      <c r="K4" s="241"/>
      <c r="L4" s="241"/>
      <c r="M4" s="187"/>
    </row>
    <row r="5" spans="1:13" ht="12.75">
      <c r="A5" s="177" t="s">
        <v>96</v>
      </c>
      <c r="B5" s="194" t="s">
        <v>42</v>
      </c>
      <c r="C5" s="253" t="s">
        <v>105</v>
      </c>
      <c r="D5" s="209">
        <f>Saving!D7</f>
        <v>1</v>
      </c>
      <c r="E5" s="209">
        <f>Saving!E7</f>
        <v>2</v>
      </c>
      <c r="F5" s="209">
        <f>Saving!F7</f>
        <v>3</v>
      </c>
      <c r="G5" s="209">
        <f>Saving!G7</f>
        <v>4</v>
      </c>
      <c r="H5" s="209">
        <f>Saving!H7</f>
        <v>5</v>
      </c>
      <c r="I5" s="209">
        <f>Saving!I7</f>
        <v>6</v>
      </c>
      <c r="J5" s="209">
        <f>Saving!J7</f>
        <v>7</v>
      </c>
      <c r="K5" s="209">
        <f>Saving!K7</f>
        <v>8</v>
      </c>
      <c r="L5" s="209">
        <f>Saving!L7</f>
        <v>9</v>
      </c>
      <c r="M5" s="254">
        <f>Saving!M7</f>
        <v>10</v>
      </c>
    </row>
    <row r="6" spans="1:13" ht="12.75">
      <c r="A6" s="255"/>
      <c r="B6" s="192"/>
      <c r="C6" s="256"/>
      <c r="D6" s="257"/>
      <c r="E6" s="257"/>
      <c r="F6" s="257"/>
      <c r="G6" s="257"/>
      <c r="H6" s="257"/>
      <c r="I6" s="257"/>
      <c r="J6" s="257"/>
      <c r="K6" s="257"/>
      <c r="L6" s="257"/>
      <c r="M6" s="258"/>
    </row>
    <row r="7" spans="1:13" ht="12.75">
      <c r="A7" s="176"/>
      <c r="B7" s="192" t="str">
        <f>'P&amp;L'!B11</f>
        <v>Cost of Material </v>
      </c>
      <c r="C7" s="438">
        <f>Parameters!C92</f>
        <v>1</v>
      </c>
      <c r="D7" s="196">
        <f>('P&amp;L'!C11/12)*$C$7</f>
        <v>0.0625</v>
      </c>
      <c r="E7" s="196">
        <f>('P&amp;L'!D11/12)*$C$7</f>
        <v>0.08333333333333333</v>
      </c>
      <c r="F7" s="196">
        <f>('P&amp;L'!E11/12)*$C$7</f>
        <v>0.08333333333333333</v>
      </c>
      <c r="G7" s="196">
        <f>('P&amp;L'!F11/12)*$C$7</f>
        <v>0.08333333333333333</v>
      </c>
      <c r="H7" s="196">
        <f>('P&amp;L'!G11/12)*$C$7</f>
        <v>0.08333333333333333</v>
      </c>
      <c r="I7" s="196">
        <f>('P&amp;L'!H11/12)*$C$7</f>
        <v>0.08333333333333333</v>
      </c>
      <c r="J7" s="196">
        <f>('P&amp;L'!I11/12)*$C$7</f>
        <v>0.08333333333333333</v>
      </c>
      <c r="K7" s="196">
        <f>('P&amp;L'!J11/12)*$C$7</f>
        <v>0.08333333333333333</v>
      </c>
      <c r="L7" s="196">
        <f>('P&amp;L'!K11/12)*$C$7</f>
        <v>0.08333333333333333</v>
      </c>
      <c r="M7" s="196">
        <f>('P&amp;L'!L11/12)*$C$7</f>
        <v>0.08333333333333333</v>
      </c>
    </row>
    <row r="8" spans="1:13" ht="12.75">
      <c r="A8" s="176"/>
      <c r="B8" s="192" t="str">
        <f>'P&amp;L'!B12</f>
        <v>Operating &amp; Maintenance Cost</v>
      </c>
      <c r="C8" s="438">
        <f>Parameters!C93</f>
        <v>1</v>
      </c>
      <c r="D8" s="196">
        <f>('P&amp;L'!C12/12)*$C$8</f>
        <v>0.0606545235157013</v>
      </c>
      <c r="E8" s="196">
        <f>('P&amp;L'!D12/12)*$C$8</f>
        <v>0.08087269802093507</v>
      </c>
      <c r="F8" s="196">
        <f>('P&amp;L'!E12/12)*$C$8</f>
        <v>0.08491633292198182</v>
      </c>
      <c r="G8" s="196">
        <f>('P&amp;L'!F12/12)*$C$8</f>
        <v>0.08916214956808093</v>
      </c>
      <c r="H8" s="196">
        <f>('P&amp;L'!G12/12)*$C$8</f>
        <v>0.09362025704648497</v>
      </c>
      <c r="I8" s="196">
        <f>('P&amp;L'!H12/12)*$C$8</f>
        <v>0.09830126989880922</v>
      </c>
      <c r="J8" s="196">
        <f>('P&amp;L'!I12/12)*$C$8</f>
        <v>0.10321633339374968</v>
      </c>
      <c r="K8" s="196">
        <f>('P&amp;L'!J12/12)*$C$8</f>
        <v>0.10837715006343716</v>
      </c>
      <c r="L8" s="196">
        <f>('P&amp;L'!K12/12)*$C$8</f>
        <v>0.11379600756660901</v>
      </c>
      <c r="M8" s="196">
        <f>('P&amp;L'!L12/12)*$C$8</f>
        <v>0.11948580794493946</v>
      </c>
    </row>
    <row r="9" spans="1:13" ht="12.75">
      <c r="A9" s="176"/>
      <c r="B9" s="192" t="str">
        <f>'P&amp;L'!B13</f>
        <v>Insurance Cost</v>
      </c>
      <c r="C9" s="438">
        <f>Parameters!C94</f>
        <v>1</v>
      </c>
      <c r="D9" s="196">
        <f>('P&amp;L'!C13/12)*$C$9</f>
        <v>0.0606545235157013</v>
      </c>
      <c r="E9" s="196">
        <f>('P&amp;L'!D13/12)*$C$9</f>
        <v>0.08168142500114442</v>
      </c>
      <c r="F9" s="196">
        <f>('P&amp;L'!E13/12)*$C$9</f>
        <v>0.08249823925115586</v>
      </c>
      <c r="G9" s="196">
        <f>('P&amp;L'!F13/12)*$C$9</f>
        <v>0.08332322164366743</v>
      </c>
      <c r="H9" s="196">
        <f>('P&amp;L'!G13/12)*$C$9</f>
        <v>0.0841564538601041</v>
      </c>
      <c r="I9" s="196">
        <f>('P&amp;L'!H13/12)*$C$9</f>
        <v>0.08499801839870513</v>
      </c>
      <c r="J9" s="196">
        <f>('P&amp;L'!I13/12)*$C$9</f>
        <v>0.0858479985826922</v>
      </c>
      <c r="K9" s="196">
        <f>('P&amp;L'!J13/12)*$C$9</f>
        <v>0.08670647856851911</v>
      </c>
      <c r="L9" s="196">
        <f>('P&amp;L'!K13/12)*$C$9</f>
        <v>0.08757354335420431</v>
      </c>
      <c r="M9" s="196">
        <f>('P&amp;L'!L13/12)*$C$9</f>
        <v>0.08844927878774635</v>
      </c>
    </row>
    <row r="10" spans="1:13" ht="12.75">
      <c r="A10" s="176"/>
      <c r="B10" s="192" t="str">
        <f>'P&amp;L'!B14</f>
        <v>Personnel Cost</v>
      </c>
      <c r="C10" s="438">
        <f>Parameters!C95</f>
        <v>1</v>
      </c>
      <c r="D10" s="196">
        <f>('P&amp;L'!C14/12)*$C$10</f>
        <v>1.23</v>
      </c>
      <c r="E10" s="196">
        <f>('P&amp;L'!D14/12)*$C$10</f>
        <v>1.804</v>
      </c>
      <c r="F10" s="196">
        <f>('P&amp;L'!E14/12)*$C$10</f>
        <v>1.9844</v>
      </c>
      <c r="G10" s="196">
        <f>('P&amp;L'!F14/12)*$C$10</f>
        <v>2.18284</v>
      </c>
      <c r="H10" s="196">
        <f>('P&amp;L'!G14/12)*$C$10</f>
        <v>2.4011240000000003</v>
      </c>
      <c r="I10" s="196">
        <f>('P&amp;L'!H14/12)*$C$10</f>
        <v>2.6412364</v>
      </c>
      <c r="J10" s="196">
        <f>('P&amp;L'!I14/12)*$C$10</f>
        <v>2.90536004</v>
      </c>
      <c r="K10" s="196">
        <f>('P&amp;L'!J14/12)*$C$10</f>
        <v>3.195896044</v>
      </c>
      <c r="L10" s="196">
        <f>('P&amp;L'!K14/12)*$C$10</f>
        <v>3.5154856484000003</v>
      </c>
      <c r="M10" s="196">
        <f>('P&amp;L'!L14/12)*$C$10</f>
        <v>3.86703421324</v>
      </c>
    </row>
    <row r="11" spans="1:13" ht="12.75">
      <c r="A11" s="176"/>
      <c r="B11" s="192" t="str">
        <f>'P&amp;L'!B15</f>
        <v>Administrative Cost</v>
      </c>
      <c r="C11" s="438">
        <f>Parameters!C96</f>
        <v>1</v>
      </c>
      <c r="D11" s="196">
        <f>('P&amp;L'!C15/12)*$C$11</f>
        <v>3.2904225000000005E-07</v>
      </c>
      <c r="E11" s="196">
        <f>('P&amp;L'!D15/12)*$C$11</f>
        <v>4.4262276000000004E-07</v>
      </c>
      <c r="F11" s="196">
        <f>('P&amp;L'!E15/12)*$C$11</f>
        <v>4.466005152000001E-07</v>
      </c>
      <c r="G11" s="196">
        <f>('P&amp;L'!F15/12)*$C$11</f>
        <v>4.506578255040001E-07</v>
      </c>
      <c r="H11" s="196">
        <f>('P&amp;L'!G15/12)*$C$11</f>
        <v>4.547962820140801E-07</v>
      </c>
      <c r="I11" s="196">
        <f>('P&amp;L'!H15/12)*$C$11</f>
        <v>4.5901750765436175E-07</v>
      </c>
      <c r="J11" s="196">
        <f>('P&amp;L'!I15/12)*$C$11</f>
        <v>4.633231578074489E-07</v>
      </c>
      <c r="K11" s="196">
        <f>('P&amp;L'!J15/12)*$C$11</f>
        <v>4.677149209635979E-07</v>
      </c>
      <c r="L11" s="196">
        <f>('P&amp;L'!K15/12)*$C$11</f>
        <v>4.721945193828698E-07</v>
      </c>
      <c r="M11" s="196">
        <f>('P&amp;L'!L15/12)*$C$11</f>
        <v>4.7676370977052723E-07</v>
      </c>
    </row>
    <row r="12" spans="1:13" ht="12.75">
      <c r="A12" s="176"/>
      <c r="B12" s="192"/>
      <c r="C12" s="259"/>
      <c r="D12" s="196"/>
      <c r="E12" s="196"/>
      <c r="F12" s="196"/>
      <c r="G12" s="196"/>
      <c r="H12" s="196"/>
      <c r="I12" s="196"/>
      <c r="J12" s="196"/>
      <c r="K12" s="196"/>
      <c r="L12" s="196"/>
      <c r="M12" s="260"/>
    </row>
    <row r="13" spans="1:13" ht="12.75">
      <c r="A13" s="176"/>
      <c r="B13" s="194" t="s">
        <v>133</v>
      </c>
      <c r="C13" s="259"/>
      <c r="D13" s="197">
        <f>SUM(D7:D12)</f>
        <v>1.4138093760736525</v>
      </c>
      <c r="E13" s="197">
        <f aca="true" t="shared" si="0" ref="E13:J13">SUM(E7:E12)</f>
        <v>2.0498878989781733</v>
      </c>
      <c r="F13" s="197">
        <f t="shared" si="0"/>
        <v>2.2351483521069864</v>
      </c>
      <c r="G13" s="197">
        <f t="shared" si="0"/>
        <v>2.4386591552029078</v>
      </c>
      <c r="H13" s="197">
        <f t="shared" si="0"/>
        <v>2.6622344990362046</v>
      </c>
      <c r="I13" s="197">
        <f t="shared" si="0"/>
        <v>2.907869480648355</v>
      </c>
      <c r="J13" s="197">
        <f t="shared" si="0"/>
        <v>3.177758168632933</v>
      </c>
      <c r="K13" s="197">
        <f>SUM(K7:K12)</f>
        <v>3.4743134736802106</v>
      </c>
      <c r="L13" s="197">
        <f>SUM(L7:L12)</f>
        <v>3.8001890048486664</v>
      </c>
      <c r="M13" s="261">
        <f>SUM(M7:M12)</f>
        <v>4.1583031100697285</v>
      </c>
    </row>
    <row r="14" spans="1:13" ht="12.75">
      <c r="A14" s="176"/>
      <c r="B14" s="192"/>
      <c r="C14" s="259"/>
      <c r="D14" s="196"/>
      <c r="E14" s="196"/>
      <c r="F14" s="196"/>
      <c r="G14" s="196"/>
      <c r="H14" s="196"/>
      <c r="I14" s="196"/>
      <c r="J14" s="196"/>
      <c r="K14" s="196"/>
      <c r="L14" s="196"/>
      <c r="M14" s="260"/>
    </row>
    <row r="15" spans="1:13" ht="12.75">
      <c r="A15" s="176"/>
      <c r="B15" s="194" t="s">
        <v>107</v>
      </c>
      <c r="C15" s="259"/>
      <c r="D15" s="197">
        <f>D13</f>
        <v>1.4138093760736525</v>
      </c>
      <c r="E15" s="197">
        <f aca="true" t="shared" si="1" ref="E15:M15">E13</f>
        <v>2.0498878989781733</v>
      </c>
      <c r="F15" s="197">
        <f t="shared" si="1"/>
        <v>2.2351483521069864</v>
      </c>
      <c r="G15" s="197">
        <f t="shared" si="1"/>
        <v>2.4386591552029078</v>
      </c>
      <c r="H15" s="197">
        <f t="shared" si="1"/>
        <v>2.6622344990362046</v>
      </c>
      <c r="I15" s="197">
        <f t="shared" si="1"/>
        <v>2.907869480648355</v>
      </c>
      <c r="J15" s="197">
        <f t="shared" si="1"/>
        <v>3.177758168632933</v>
      </c>
      <c r="K15" s="197">
        <f t="shared" si="1"/>
        <v>3.4743134736802106</v>
      </c>
      <c r="L15" s="197">
        <f t="shared" si="1"/>
        <v>3.8001890048486664</v>
      </c>
      <c r="M15" s="197">
        <f t="shared" si="1"/>
        <v>4.1583031100697285</v>
      </c>
    </row>
    <row r="16" spans="1:13" ht="12.75">
      <c r="A16" s="176"/>
      <c r="B16" s="192"/>
      <c r="C16" s="259"/>
      <c r="D16" s="196"/>
      <c r="E16" s="196"/>
      <c r="F16" s="196"/>
      <c r="G16" s="196"/>
      <c r="H16" s="196"/>
      <c r="I16" s="196"/>
      <c r="J16" s="196"/>
      <c r="K16" s="196"/>
      <c r="L16" s="196"/>
      <c r="M16" s="260"/>
    </row>
    <row r="17" spans="1:14" ht="12.75">
      <c r="A17" s="176"/>
      <c r="B17" s="194" t="s">
        <v>134</v>
      </c>
      <c r="C17" s="262"/>
      <c r="D17" s="197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f>N15</f>
        <v>0</v>
      </c>
    </row>
    <row r="18" spans="1:13" ht="12.75">
      <c r="A18" s="176"/>
      <c r="B18" s="194" t="s">
        <v>102</v>
      </c>
      <c r="C18" s="439">
        <f>Parameters!C22</f>
        <v>0.125</v>
      </c>
      <c r="D18" s="196">
        <f>D17*$C$18</f>
        <v>0</v>
      </c>
      <c r="E18" s="196">
        <f aca="true" t="shared" si="2" ref="E18:J18">E17*$C$18</f>
        <v>0</v>
      </c>
      <c r="F18" s="196">
        <f t="shared" si="2"/>
        <v>0</v>
      </c>
      <c r="G18" s="196">
        <f t="shared" si="2"/>
        <v>0</v>
      </c>
      <c r="H18" s="196">
        <f t="shared" si="2"/>
        <v>0</v>
      </c>
      <c r="I18" s="196">
        <f t="shared" si="2"/>
        <v>0</v>
      </c>
      <c r="J18" s="196">
        <f t="shared" si="2"/>
        <v>0</v>
      </c>
      <c r="K18" s="196">
        <f>K17*$C$18</f>
        <v>0</v>
      </c>
      <c r="L18" s="196">
        <f>L17*$C$18</f>
        <v>0</v>
      </c>
      <c r="M18" s="260">
        <f>M17*$C$18</f>
        <v>0</v>
      </c>
    </row>
    <row r="19" spans="1:13" ht="12.75">
      <c r="A19" s="176"/>
      <c r="B19" s="192"/>
      <c r="C19" s="259"/>
      <c r="D19" s="263"/>
      <c r="E19" s="263"/>
      <c r="F19" s="263"/>
      <c r="G19" s="263"/>
      <c r="H19" s="263"/>
      <c r="I19" s="263"/>
      <c r="J19" s="263"/>
      <c r="K19" s="263"/>
      <c r="L19" s="263"/>
      <c r="M19" s="264"/>
    </row>
    <row r="20" spans="1:13" ht="5.25" customHeight="1" thickBot="1">
      <c r="A20" s="201"/>
      <c r="B20" s="202"/>
      <c r="C20" s="265"/>
      <c r="D20" s="203"/>
      <c r="E20" s="203"/>
      <c r="F20" s="203"/>
      <c r="G20" s="203"/>
      <c r="H20" s="203"/>
      <c r="I20" s="203"/>
      <c r="J20" s="203"/>
      <c r="K20" s="203"/>
      <c r="L20" s="203"/>
      <c r="M20" s="204"/>
    </row>
    <row r="21" ht="12.75" hidden="1">
      <c r="C21" s="266"/>
    </row>
    <row r="22" ht="12.75" hidden="1">
      <c r="C22" s="266"/>
    </row>
    <row r="23" ht="12.75" hidden="1">
      <c r="C23" s="266"/>
    </row>
    <row r="24" ht="12.75" hidden="1">
      <c r="C24" s="266"/>
    </row>
    <row r="25" ht="12.75" hidden="1">
      <c r="C25" s="266"/>
    </row>
    <row r="26" ht="12.75" hidden="1">
      <c r="C26" s="266"/>
    </row>
    <row r="27" ht="12.75" hidden="1">
      <c r="C27" s="266"/>
    </row>
    <row r="28" ht="12.75" hidden="1">
      <c r="C28" s="266"/>
    </row>
    <row r="29" ht="12.75" hidden="1">
      <c r="C29" s="266"/>
    </row>
    <row r="30" ht="12.75" hidden="1">
      <c r="C30" s="266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 password="DAD4" sheet="1"/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SheetLayoutView="100" workbookViewId="0" topLeftCell="A1">
      <selection activeCell="E20" sqref="E20"/>
    </sheetView>
  </sheetViews>
  <sheetFormatPr defaultColWidth="9.140625" defaultRowHeight="12.75"/>
  <cols>
    <col min="1" max="1" width="5.00390625" style="0" bestFit="1" customWidth="1"/>
    <col min="2" max="2" width="23.140625" style="0" bestFit="1" customWidth="1"/>
    <col min="3" max="3" width="14.28125" style="0" bestFit="1" customWidth="1"/>
    <col min="4" max="4" width="23.57421875" style="0" bestFit="1" customWidth="1"/>
    <col min="5" max="5" width="23.421875" style="0" bestFit="1" customWidth="1"/>
    <col min="6" max="6" width="23.28125" style="0" bestFit="1" customWidth="1"/>
    <col min="7" max="7" width="23.57421875" style="0" bestFit="1" customWidth="1"/>
    <col min="8" max="8" width="23.57421875" style="38" bestFit="1" customWidth="1"/>
    <col min="9" max="9" width="22.7109375" style="0" bestFit="1" customWidth="1"/>
    <col min="10" max="10" width="22.57421875" style="0" bestFit="1" customWidth="1"/>
    <col min="11" max="11" width="23.140625" style="0" bestFit="1" customWidth="1"/>
    <col min="12" max="12" width="23.00390625" style="0" bestFit="1" customWidth="1"/>
  </cols>
  <sheetData>
    <row r="1" ht="12.75">
      <c r="F1" s="88"/>
    </row>
    <row r="4" spans="2:12" ht="13.5" thickBot="1">
      <c r="B4" s="441" t="s">
        <v>206</v>
      </c>
      <c r="C4" s="441"/>
      <c r="D4" s="441"/>
      <c r="E4" s="441"/>
      <c r="F4" s="441"/>
      <c r="G4" s="441"/>
      <c r="H4" s="442"/>
      <c r="I4" s="441"/>
      <c r="J4" s="441"/>
      <c r="K4" s="441"/>
      <c r="L4" s="441"/>
    </row>
    <row r="5" spans="2:12" ht="12.75">
      <c r="B5" s="447"/>
      <c r="C5" s="448">
        <f>'Work Cap'!D5</f>
        <v>1</v>
      </c>
      <c r="D5" s="448">
        <f>'Work Cap'!E5</f>
        <v>2</v>
      </c>
      <c r="E5" s="448">
        <f>'Work Cap'!F5</f>
        <v>3</v>
      </c>
      <c r="F5" s="448">
        <f>'Work Cap'!G5</f>
        <v>4</v>
      </c>
      <c r="G5" s="448">
        <f>'Work Cap'!H5</f>
        <v>5</v>
      </c>
      <c r="H5" s="448">
        <f>'Work Cap'!I5</f>
        <v>6</v>
      </c>
      <c r="I5" s="448">
        <f>'Work Cap'!J5</f>
        <v>7</v>
      </c>
      <c r="J5" s="448">
        <f>'Work Cap'!K5</f>
        <v>8</v>
      </c>
      <c r="K5" s="448">
        <f>'Work Cap'!L5</f>
        <v>9</v>
      </c>
      <c r="L5" s="449">
        <f>'Work Cap'!M5</f>
        <v>10</v>
      </c>
    </row>
    <row r="6" spans="1:12" s="40" customFormat="1" ht="12.75">
      <c r="A6" s="39"/>
      <c r="B6" s="80" t="s">
        <v>31</v>
      </c>
      <c r="C6" s="79">
        <f>'P&amp;L'!C20</f>
        <v>27.93690454585593</v>
      </c>
      <c r="D6" s="79">
        <f>'P&amp;L'!D20</f>
        <v>23.333134054390797</v>
      </c>
      <c r="E6" s="79">
        <f>'P&amp;L'!E20</f>
        <v>24.398264880898516</v>
      </c>
      <c r="F6" s="79">
        <f>'P&amp;L'!F20</f>
        <v>25.528069455601496</v>
      </c>
      <c r="G6" s="79">
        <f>'P&amp;L'!G20</f>
        <v>26.727790853678457</v>
      </c>
      <c r="H6" s="79">
        <f>'P&amp;L'!H20</f>
        <v>28.003161978585005</v>
      </c>
      <c r="I6" s="79">
        <f>'P&amp;L'!I20</f>
        <v>29.360453630048895</v>
      </c>
      <c r="J6" s="79">
        <f>'P&amp;L'!J20</f>
        <v>30.806527357467544</v>
      </c>
      <c r="K6" s="79">
        <f>'P&amp;L'!K20</f>
        <v>32.348893576909305</v>
      </c>
      <c r="L6" s="443">
        <f>'P&amp;L'!L20</f>
        <v>33.99577547774507</v>
      </c>
    </row>
    <row r="7" spans="2:12" ht="12.75">
      <c r="B7" s="47" t="s">
        <v>103</v>
      </c>
      <c r="C7" s="79">
        <f>Interest!J16</f>
        <v>6.560172355551469</v>
      </c>
      <c r="D7" s="79">
        <f>Interest!J28</f>
        <v>7.0140207575078595</v>
      </c>
      <c r="E7" s="79">
        <f>Interest!J40</f>
        <v>5.0335913671527</v>
      </c>
      <c r="F7" s="79">
        <f>Interest!J52</f>
        <v>3.053161976797539</v>
      </c>
      <c r="G7" s="79">
        <f>Interest!J64</f>
        <v>1.0727325864423787</v>
      </c>
      <c r="H7" s="79">
        <f>Interest!J76</f>
        <v>0</v>
      </c>
      <c r="I7" s="79">
        <f>Interest!J88</f>
        <v>0</v>
      </c>
      <c r="J7" s="79"/>
      <c r="K7" s="79"/>
      <c r="L7" s="443"/>
    </row>
    <row r="8" spans="2:12" ht="12.75">
      <c r="B8" s="47" t="s">
        <v>207</v>
      </c>
      <c r="C8" s="79">
        <f>'Depr as per IT'!D7</f>
        <v>19.836455370574953</v>
      </c>
      <c r="D8" s="79">
        <f>'Depr as per IT'!E7</f>
        <v>16.795526762265812</v>
      </c>
      <c r="E8" s="79">
        <f>'Depr as per IT'!F7</f>
        <v>14.220772509610464</v>
      </c>
      <c r="F8" s="79">
        <f>'Depr as per IT'!G7</f>
        <v>12.04072808388718</v>
      </c>
      <c r="G8" s="79">
        <f>'Depr as per IT'!H7</f>
        <v>10.194884468627276</v>
      </c>
      <c r="H8" s="79">
        <f>'Depr as per IT'!J7</f>
        <v>7.308721749006071</v>
      </c>
      <c r="I8" s="79">
        <f>'Depr as per IT'!K7</f>
        <v>6.1882947048834405</v>
      </c>
      <c r="J8" s="79"/>
      <c r="K8" s="79"/>
      <c r="L8" s="443"/>
    </row>
    <row r="9" spans="2:12" ht="12.75">
      <c r="B9" s="80" t="s">
        <v>208</v>
      </c>
      <c r="C9" s="79">
        <f>C6-C8-C7</f>
        <v>1.5402768197295096</v>
      </c>
      <c r="D9" s="79">
        <f aca="true" t="shared" si="0" ref="D9:L9">D6-D8-D7</f>
        <v>-0.47641346538287443</v>
      </c>
      <c r="E9" s="79">
        <f t="shared" si="0"/>
        <v>5.143901004135352</v>
      </c>
      <c r="F9" s="79">
        <f t="shared" si="0"/>
        <v>10.434179394916779</v>
      </c>
      <c r="G9" s="79">
        <f t="shared" si="0"/>
        <v>15.460173798608801</v>
      </c>
      <c r="H9" s="79">
        <f t="shared" si="0"/>
        <v>20.694440229578934</v>
      </c>
      <c r="I9" s="79">
        <f t="shared" si="0"/>
        <v>23.172158925165455</v>
      </c>
      <c r="J9" s="79">
        <f t="shared" si="0"/>
        <v>30.806527357467544</v>
      </c>
      <c r="K9" s="79">
        <f t="shared" si="0"/>
        <v>32.348893576909305</v>
      </c>
      <c r="L9" s="443">
        <f t="shared" si="0"/>
        <v>33.99577547774507</v>
      </c>
    </row>
    <row r="10" spans="2:12" ht="12.75">
      <c r="B10" s="81" t="s">
        <v>209</v>
      </c>
      <c r="C10" s="82">
        <f>C9</f>
        <v>1.5402768197295096</v>
      </c>
      <c r="D10" s="82">
        <f>C10+D9</f>
        <v>1.0638633543466351</v>
      </c>
      <c r="E10" s="82">
        <f aca="true" t="shared" si="1" ref="E10:L10">D10+E9</f>
        <v>6.207764358481987</v>
      </c>
      <c r="F10" s="82">
        <f t="shared" si="1"/>
        <v>16.641943753398767</v>
      </c>
      <c r="G10" s="82">
        <f t="shared" si="1"/>
        <v>32.10211755200757</v>
      </c>
      <c r="H10" s="82">
        <f t="shared" si="1"/>
        <v>52.7965577815865</v>
      </c>
      <c r="I10" s="82">
        <f t="shared" si="1"/>
        <v>75.96871670675196</v>
      </c>
      <c r="J10" s="82">
        <f t="shared" si="1"/>
        <v>106.7752440642195</v>
      </c>
      <c r="K10" s="82">
        <f t="shared" si="1"/>
        <v>139.1241376411288</v>
      </c>
      <c r="L10" s="444">
        <f t="shared" si="1"/>
        <v>173.11991311887388</v>
      </c>
    </row>
    <row r="11" spans="2:12" ht="12.75">
      <c r="B11" s="81" t="s">
        <v>210</v>
      </c>
      <c r="C11" s="83"/>
      <c r="D11" s="83"/>
      <c r="E11" s="83"/>
      <c r="F11" s="83"/>
      <c r="G11" s="83"/>
      <c r="H11" s="83"/>
      <c r="I11" s="83"/>
      <c r="J11" s="83"/>
      <c r="K11" s="83"/>
      <c r="L11" s="445"/>
    </row>
    <row r="12" spans="2:12" s="41" customFormat="1" ht="12.75">
      <c r="B12" s="81" t="s">
        <v>211</v>
      </c>
      <c r="C12" s="83">
        <f>IF(C10&lt;0,0,C9*0.32445)</f>
        <v>0.4997428141612394</v>
      </c>
      <c r="D12" s="83">
        <f aca="true" t="shared" si="2" ref="D12:L12">IF(D10&lt;0,0,IF(C10&lt;0,D10*0.32445,D9*0.32445))</f>
        <v>-0.15457234884347362</v>
      </c>
      <c r="E12" s="83">
        <f t="shared" si="2"/>
        <v>1.668938680791715</v>
      </c>
      <c r="F12" s="83">
        <f t="shared" si="2"/>
        <v>3.385369504680749</v>
      </c>
      <c r="G12" s="83">
        <f t="shared" si="2"/>
        <v>5.016053388958626</v>
      </c>
      <c r="H12" s="83">
        <f t="shared" si="2"/>
        <v>6.714311132486886</v>
      </c>
      <c r="I12" s="83">
        <f t="shared" si="2"/>
        <v>7.518206963269932</v>
      </c>
      <c r="J12" s="83">
        <f t="shared" si="2"/>
        <v>9.995177801130346</v>
      </c>
      <c r="K12" s="83">
        <f t="shared" si="2"/>
        <v>10.495598521028224</v>
      </c>
      <c r="L12" s="445">
        <f t="shared" si="2"/>
        <v>11.029929353754389</v>
      </c>
    </row>
    <row r="13" spans="2:12" ht="12.75">
      <c r="B13" s="81" t="s">
        <v>212</v>
      </c>
      <c r="C13" s="83">
        <f>C12</f>
        <v>0.4997428141612394</v>
      </c>
      <c r="D13" s="83">
        <f>SUM($C12:D12)</f>
        <v>0.34517046531776574</v>
      </c>
      <c r="E13" s="83">
        <f>SUM($C12:E12)</f>
        <v>2.014109146109481</v>
      </c>
      <c r="F13" s="83">
        <f>SUM($C12:F12)</f>
        <v>5.39947865079023</v>
      </c>
      <c r="G13" s="83">
        <f>SUM($C12:G12)</f>
        <v>10.415532039748856</v>
      </c>
      <c r="H13" s="83">
        <f>SUM($C12:H12)</f>
        <v>17.12984317223574</v>
      </c>
      <c r="I13" s="83">
        <f>SUM($C12:I12)</f>
        <v>24.648050135505674</v>
      </c>
      <c r="J13" s="83">
        <f>SUM($C12:J12)</f>
        <v>34.64322793663602</v>
      </c>
      <c r="K13" s="83">
        <f>SUM($C12:K12)</f>
        <v>45.13882645766425</v>
      </c>
      <c r="L13" s="445">
        <f>SUM($C12:L12)</f>
        <v>56.16875581141864</v>
      </c>
    </row>
    <row r="14" spans="2:12" ht="12.75">
      <c r="B14" s="81" t="s">
        <v>213</v>
      </c>
      <c r="C14" s="83">
        <f>+MAX(0,'P&amp;L'!C28*20.00775%)</f>
        <v>3.350004061805641</v>
      </c>
      <c r="D14" s="83">
        <f>+MAX(0,'P&amp;L'!D28*20.00775%)</f>
        <v>2.0290886266570967</v>
      </c>
      <c r="E14" s="83">
        <f>+MAX(0,'P&amp;L'!E28*20.00775%)</f>
        <v>2.6384367009464795</v>
      </c>
      <c r="F14" s="83">
        <f>+MAX(0,'P&amp;L'!F28*20.00775%)</f>
        <v>3.2607245370903994</v>
      </c>
      <c r="G14" s="83">
        <f>+MAX(0,'P&amp;L'!G28*20.00775%)</f>
        <v>3.8970011564629274</v>
      </c>
      <c r="H14" s="83">
        <f>+MAX(0,'P&amp;L'!H28*20.00775%)</f>
        <v>4.3668038767703425</v>
      </c>
      <c r="I14" s="83">
        <f>+MAX(0,'P&amp;L'!I28*20.00775%)</f>
        <v>4.638367397166109</v>
      </c>
      <c r="J14" s="83">
        <f>+MAX(0,'P&amp;L'!J28*20.00775%)</f>
        <v>4.927694213363713</v>
      </c>
      <c r="K14" s="83">
        <f>+MAX(0,'P&amp;L'!K28*20.00775%)</f>
        <v>5.236286990634072</v>
      </c>
      <c r="L14" s="445">
        <f>+MAX(0,'P&amp;L'!L28*20.00775%)</f>
        <v>5.56579100414854</v>
      </c>
    </row>
    <row r="15" spans="2:12" ht="12.75">
      <c r="B15" s="81" t="s">
        <v>214</v>
      </c>
      <c r="C15" s="83">
        <f>C14</f>
        <v>3.350004061805641</v>
      </c>
      <c r="D15" s="83">
        <f>SUM($C14:D14)</f>
        <v>5.3790926884627375</v>
      </c>
      <c r="E15" s="83">
        <f>SUM($C14:E14)</f>
        <v>8.017529389409217</v>
      </c>
      <c r="F15" s="83">
        <f>SUM($C14:F14)</f>
        <v>11.278253926499616</v>
      </c>
      <c r="G15" s="83">
        <f>SUM($C14:G14)</f>
        <v>15.175255082962543</v>
      </c>
      <c r="H15" s="83">
        <f>SUM($C14:H14)</f>
        <v>19.542058959732884</v>
      </c>
      <c r="I15" s="83">
        <f>SUM($C14:I14)</f>
        <v>24.18042635689899</v>
      </c>
      <c r="J15" s="83">
        <f>SUM($C14:J14)</f>
        <v>29.108120570262706</v>
      </c>
      <c r="K15" s="83">
        <f>SUM($C14:K14)</f>
        <v>34.34440756089678</v>
      </c>
      <c r="L15" s="445">
        <f>SUM($C14:L14)</f>
        <v>39.91019856504532</v>
      </c>
    </row>
    <row r="16" spans="2:12" ht="13.5" thickBot="1">
      <c r="B16" s="446" t="s">
        <v>215</v>
      </c>
      <c r="C16" s="450">
        <f>MAX(C14,C12)</f>
        <v>3.350004061805641</v>
      </c>
      <c r="D16" s="450">
        <f aca="true" t="shared" si="3" ref="D16:L16">MAX(D14,D12)</f>
        <v>2.0290886266570967</v>
      </c>
      <c r="E16" s="450">
        <f t="shared" si="3"/>
        <v>2.6384367009464795</v>
      </c>
      <c r="F16" s="450">
        <f t="shared" si="3"/>
        <v>3.385369504680749</v>
      </c>
      <c r="G16" s="450">
        <f t="shared" si="3"/>
        <v>5.016053388958626</v>
      </c>
      <c r="H16" s="450">
        <f t="shared" si="3"/>
        <v>6.714311132486886</v>
      </c>
      <c r="I16" s="450">
        <f t="shared" si="3"/>
        <v>7.518206963269932</v>
      </c>
      <c r="J16" s="450">
        <f t="shared" si="3"/>
        <v>9.995177801130346</v>
      </c>
      <c r="K16" s="450">
        <f t="shared" si="3"/>
        <v>10.495598521028224</v>
      </c>
      <c r="L16" s="451">
        <f t="shared" si="3"/>
        <v>11.029929353754389</v>
      </c>
    </row>
    <row r="17" spans="2:12" ht="12.75">
      <c r="B17" s="84"/>
      <c r="C17" s="85"/>
      <c r="D17" s="85"/>
      <c r="E17" s="85"/>
      <c r="F17" s="85"/>
      <c r="G17" s="85"/>
      <c r="H17" s="86"/>
      <c r="I17" s="85"/>
      <c r="J17" s="85"/>
      <c r="K17" s="85"/>
      <c r="L17" s="85"/>
    </row>
    <row r="18" spans="2:12" ht="12.75">
      <c r="B18" s="43"/>
      <c r="C18" s="43"/>
      <c r="D18" s="43"/>
      <c r="E18" s="43"/>
      <c r="F18" s="43"/>
      <c r="G18" s="43"/>
      <c r="H18" s="87"/>
      <c r="I18" s="43"/>
      <c r="J18" s="43"/>
      <c r="K18" s="43"/>
      <c r="L18" s="43"/>
    </row>
    <row r="19" spans="2:12" ht="12.75">
      <c r="B19" s="167" t="s">
        <v>206</v>
      </c>
      <c r="C19" s="168">
        <f>IF(Parameters!$D$23&lt;=C5,(C5-Parameters!$D$23)*C16,0)</f>
        <v>2.5125030463542304</v>
      </c>
      <c r="D19" s="168">
        <f>IF(AND(Parameters!$D$23&gt;C5,Parameters!$D$23&lt;=D5),(D5-Parameters!$D$23)*D16,IF(Parameters!$D$23&lt;=D5,D16,0))</f>
        <v>2.0290886266570967</v>
      </c>
      <c r="E19" s="168">
        <f>IF(AND(Parameters!$D$23&gt;D5,Parameters!$D$23&lt;=E5),(E5-Parameters!$D$23)*E16,IF(Parameters!$D$23&lt;=E5,E16,0))</f>
        <v>2.6384367009464795</v>
      </c>
      <c r="F19" s="168">
        <f>IF(AND(Parameters!$D$23&gt;E5,Parameters!$D$23&lt;=F5),(F5-Parameters!$D$23)*F16,IF(Parameters!$D$23&lt;=F5,F16,0))</f>
        <v>3.385369504680749</v>
      </c>
      <c r="G19" s="168">
        <f>IF(AND(Parameters!$D$23&gt;F5,Parameters!$D$23&lt;=G5),(G5-Parameters!$D$23)*G16,IF(Parameters!$D$23&lt;=G5,G16,0))</f>
        <v>5.016053388958626</v>
      </c>
      <c r="H19" s="168">
        <f>IF(AND(Parameters!$D$23&gt;G5,Parameters!$D$23&lt;=H5),(H5-Parameters!$D$23)*H16,IF(Parameters!$D$23&lt;=H5,H16,0))</f>
        <v>6.714311132486886</v>
      </c>
      <c r="I19" s="168">
        <f>IF(AND(Parameters!$D$23&gt;H5,Parameters!$D$23&lt;=I5),(I5-Parameters!$D$23)*I16,IF(Parameters!$D$23&lt;=I5,I16,0))</f>
        <v>7.518206963269932</v>
      </c>
      <c r="J19" s="168">
        <f>IF(AND(Parameters!$D$23&gt;I5,Parameters!$D$23&lt;=J5),(J5-Parameters!$D$23)*J16,IF(Parameters!$D$23&lt;=J5,J16,0))</f>
        <v>9.995177801130346</v>
      </c>
      <c r="K19" s="168">
        <f>IF(AND(Parameters!$D$23&gt;J5,Parameters!$D$23&lt;=K5),(K5-Parameters!$D$23)*K16,IF(Parameters!$D$23&lt;=K5,K16,0))</f>
        <v>10.495598521028224</v>
      </c>
      <c r="L19" s="168">
        <f>IF(AND(Parameters!$D$23&gt;K5,Parameters!$D$23&lt;=L5),(L5-Parameters!$D$23)*L16,IF(Parameters!$D$23&lt;=L5,L16,0))</f>
        <v>11.029929353754389</v>
      </c>
    </row>
  </sheetData>
  <sheetProtection password="DAD4" sheet="1"/>
  <printOptions/>
  <pageMargins left="0.7" right="0.7" top="0.75" bottom="0.75" header="0.3" footer="0.3"/>
  <pageSetup horizontalDpi="600" verticalDpi="600" orientation="landscape" r:id="rId1"/>
  <headerFooter>
    <oddHeader xml:space="preserve">&amp;CPartial Risk Gurantee for Energy Efficiency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M9"/>
  <sheetViews>
    <sheetView zoomScaleSheetLayoutView="100" workbookViewId="0" topLeftCell="A1">
      <selection activeCell="M19" sqref="M19"/>
    </sheetView>
  </sheetViews>
  <sheetFormatPr defaultColWidth="9.140625" defaultRowHeight="12.75"/>
  <cols>
    <col min="1" max="1" width="9.140625" style="43" customWidth="1"/>
    <col min="2" max="2" width="33.8515625" style="43" customWidth="1"/>
    <col min="3" max="3" width="11.140625" style="43" customWidth="1"/>
    <col min="4" max="16384" width="9.140625" style="43" customWidth="1"/>
  </cols>
  <sheetData>
    <row r="1" spans="4:5" ht="13.5" thickBot="1">
      <c r="D1" s="58"/>
      <c r="E1" s="58"/>
    </row>
    <row r="2" spans="2:13" ht="13.5" thickBot="1">
      <c r="B2" s="700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2"/>
    </row>
    <row r="3" spans="2:13" ht="14.25">
      <c r="B3" s="44" t="s">
        <v>200</v>
      </c>
      <c r="C3" s="45"/>
      <c r="D3" s="246">
        <f>Saving!D7</f>
        <v>1</v>
      </c>
      <c r="E3" s="246">
        <f>Saving!E7</f>
        <v>2</v>
      </c>
      <c r="F3" s="246">
        <f>Saving!F7</f>
        <v>3</v>
      </c>
      <c r="G3" s="246">
        <f>Saving!G7</f>
        <v>4</v>
      </c>
      <c r="H3" s="246">
        <f>Saving!H7</f>
        <v>5</v>
      </c>
      <c r="I3" s="246">
        <f>Saving!I7</f>
        <v>6</v>
      </c>
      <c r="J3" s="246">
        <f>Saving!J7</f>
        <v>7</v>
      </c>
      <c r="K3" s="246">
        <f>Saving!K7</f>
        <v>8</v>
      </c>
      <c r="L3" s="246">
        <f>Saving!L7</f>
        <v>9</v>
      </c>
      <c r="M3" s="703">
        <f>Saving!M7</f>
        <v>10</v>
      </c>
    </row>
    <row r="4" spans="2:13" ht="12.75">
      <c r="B4" s="47" t="s">
        <v>201</v>
      </c>
      <c r="C4" s="82">
        <f>'Capital Cost '!B48+'Capital Cost '!B41</f>
        <v>129.39631683349612</v>
      </c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2:13" ht="12.75">
      <c r="B5" s="51" t="s">
        <v>202</v>
      </c>
      <c r="C5" s="159">
        <f>Parameters!D86</f>
        <v>0.1533</v>
      </c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2:13" ht="12.75">
      <c r="B6" s="51" t="s">
        <v>203</v>
      </c>
      <c r="C6" s="53"/>
      <c r="D6" s="377">
        <f>C4</f>
        <v>129.39631683349612</v>
      </c>
      <c r="E6" s="377">
        <f aca="true" t="shared" si="0" ref="E6:M6">D9</f>
        <v>109.55986146292116</v>
      </c>
      <c r="F6" s="377">
        <f t="shared" si="0"/>
        <v>92.76433470065535</v>
      </c>
      <c r="G6" s="377">
        <f t="shared" si="0"/>
        <v>78.54356219104488</v>
      </c>
      <c r="H6" s="377">
        <f t="shared" si="0"/>
        <v>66.50283410715771</v>
      </c>
      <c r="I6" s="377">
        <f t="shared" si="0"/>
        <v>56.30794963853043</v>
      </c>
      <c r="J6" s="377">
        <f t="shared" si="0"/>
        <v>47.67594095894371</v>
      </c>
      <c r="K6" s="377">
        <f t="shared" si="0"/>
        <v>40.367219209937645</v>
      </c>
      <c r="L6" s="377">
        <f t="shared" si="0"/>
        <v>34.178924505054205</v>
      </c>
      <c r="M6" s="704">
        <f t="shared" si="0"/>
        <v>28.939295378429396</v>
      </c>
    </row>
    <row r="7" spans="2:13" ht="12.75">
      <c r="B7" s="51" t="s">
        <v>32</v>
      </c>
      <c r="C7" s="49"/>
      <c r="D7" s="377">
        <f>IF(D3&lt;=Parameters!$C$118,D6*$C$5,0)</f>
        <v>19.836455370574953</v>
      </c>
      <c r="E7" s="377">
        <f>IF(E3&lt;=Parameters!$C$118,E6*$C$5,0)</f>
        <v>16.795526762265812</v>
      </c>
      <c r="F7" s="377">
        <f>IF(F3&lt;=Parameters!$C$118,F6*$C$5,0)</f>
        <v>14.220772509610464</v>
      </c>
      <c r="G7" s="377">
        <f>IF(G3&lt;=Parameters!$C$118,G6*$C$5,0)</f>
        <v>12.04072808388718</v>
      </c>
      <c r="H7" s="377">
        <f>IF(H3&lt;=Parameters!$C$118,H6*$C$5,0)</f>
        <v>10.194884468627276</v>
      </c>
      <c r="I7" s="377">
        <f>IF(I3&lt;=Parameters!$C$118,I6*$C$5,0)</f>
        <v>8.632008679586715</v>
      </c>
      <c r="J7" s="377">
        <f>IF(J3&lt;=Parameters!$C$118,J6*$C$5,0)</f>
        <v>7.308721749006071</v>
      </c>
      <c r="K7" s="377">
        <f>IF(K3&lt;=Parameters!$C$118,K6*$C$5,0)</f>
        <v>6.1882947048834405</v>
      </c>
      <c r="L7" s="377">
        <f>IF(L3&lt;=Parameters!$C$118,L6*$C$5,0)</f>
        <v>5.239629126624809</v>
      </c>
      <c r="M7" s="704">
        <f>IF(M3&lt;=Parameters!$C$118,M6*$C$5,0)</f>
        <v>4.436393981513226</v>
      </c>
    </row>
    <row r="8" spans="2:13" ht="12.75">
      <c r="B8" s="51" t="s">
        <v>204</v>
      </c>
      <c r="C8" s="49"/>
      <c r="D8" s="377">
        <f>D7</f>
        <v>19.836455370574953</v>
      </c>
      <c r="E8" s="377">
        <f aca="true" t="shared" si="1" ref="E8:M8">D8+E7</f>
        <v>36.63198213284076</v>
      </c>
      <c r="F8" s="377">
        <f t="shared" si="1"/>
        <v>50.852754642451224</v>
      </c>
      <c r="G8" s="377">
        <f t="shared" si="1"/>
        <v>62.893482726338405</v>
      </c>
      <c r="H8" s="377">
        <f t="shared" si="1"/>
        <v>73.08836719496568</v>
      </c>
      <c r="I8" s="377">
        <f t="shared" si="1"/>
        <v>81.7203758745524</v>
      </c>
      <c r="J8" s="377">
        <f t="shared" si="1"/>
        <v>89.02909762355847</v>
      </c>
      <c r="K8" s="377">
        <f t="shared" si="1"/>
        <v>95.21739232844192</v>
      </c>
      <c r="L8" s="377">
        <f t="shared" si="1"/>
        <v>100.45702145506672</v>
      </c>
      <c r="M8" s="704">
        <f t="shared" si="1"/>
        <v>104.89341543657994</v>
      </c>
    </row>
    <row r="9" spans="2:13" ht="13.5" thickBot="1">
      <c r="B9" s="55" t="s">
        <v>205</v>
      </c>
      <c r="C9" s="56"/>
      <c r="D9" s="378">
        <f aca="true" t="shared" si="2" ref="D9:M9">D6-D7</f>
        <v>109.55986146292116</v>
      </c>
      <c r="E9" s="378">
        <f t="shared" si="2"/>
        <v>92.76433470065535</v>
      </c>
      <c r="F9" s="378">
        <f t="shared" si="2"/>
        <v>78.54356219104488</v>
      </c>
      <c r="G9" s="378">
        <f t="shared" si="2"/>
        <v>66.50283410715771</v>
      </c>
      <c r="H9" s="378">
        <f t="shared" si="2"/>
        <v>56.30794963853043</v>
      </c>
      <c r="I9" s="378">
        <f t="shared" si="2"/>
        <v>47.67594095894371</v>
      </c>
      <c r="J9" s="378">
        <f t="shared" si="2"/>
        <v>40.367219209937645</v>
      </c>
      <c r="K9" s="378">
        <f t="shared" si="2"/>
        <v>34.178924505054205</v>
      </c>
      <c r="L9" s="378">
        <f t="shared" si="2"/>
        <v>28.939295378429396</v>
      </c>
      <c r="M9" s="705">
        <f t="shared" si="2"/>
        <v>24.50290139691617</v>
      </c>
    </row>
  </sheetData>
  <sheetProtection password="DAD4" sheet="1"/>
  <printOptions/>
  <pageMargins left="0.7" right="0.7" top="0.75" bottom="0.75" header="0.3" footer="0.3"/>
  <pageSetup horizontalDpi="600" verticalDpi="600" orientation="landscape" r:id="rId1"/>
  <headerFooter>
    <oddHeader xml:space="preserve">&amp;CPartial Risk Gurantee for Energy Efficiency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R56"/>
  <sheetViews>
    <sheetView zoomScaleSheetLayoutView="100" workbookViewId="0" topLeftCell="A1">
      <selection activeCell="H61" sqref="H61"/>
    </sheetView>
  </sheetViews>
  <sheetFormatPr defaultColWidth="0" defaultRowHeight="12.75" zeroHeight="1"/>
  <cols>
    <col min="1" max="1" width="9.140625" style="183" customWidth="1"/>
    <col min="2" max="2" width="44.140625" style="183" bestFit="1" customWidth="1"/>
    <col min="3" max="3" width="7.00390625" style="183" bestFit="1" customWidth="1"/>
    <col min="4" max="13" width="12.7109375" style="183" customWidth="1"/>
    <col min="14" max="16384" width="0" style="184" hidden="1" customWidth="1"/>
  </cols>
  <sheetData>
    <row r="1" spans="1:13" ht="12.75">
      <c r="A1" s="179" t="str">
        <f>Parameters!$C$3</f>
        <v>Darashaw &amp; Co.</v>
      </c>
      <c r="B1" s="236"/>
      <c r="C1" s="236"/>
      <c r="D1" s="236"/>
      <c r="E1" s="181"/>
      <c r="F1" s="236"/>
      <c r="G1" s="236"/>
      <c r="H1" s="236"/>
      <c r="I1" s="236"/>
      <c r="J1" s="236"/>
      <c r="K1" s="236"/>
      <c r="L1" s="236"/>
      <c r="M1" s="236"/>
    </row>
    <row r="2" spans="1:13" ht="12.75">
      <c r="A2" s="185" t="str">
        <f>Parameters!$C$4</f>
        <v>Shirdi Nagar Panchyat Street Light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2.75">
      <c r="A3" s="237"/>
      <c r="B3" s="211"/>
      <c r="C3" s="211"/>
      <c r="D3" s="211"/>
      <c r="E3" s="211"/>
      <c r="F3" s="238" t="s">
        <v>150</v>
      </c>
      <c r="G3" s="239" t="str">
        <f>Parameters!C83</f>
        <v>SLM</v>
      </c>
      <c r="H3" s="239"/>
      <c r="I3" s="239"/>
      <c r="J3" s="239"/>
      <c r="K3" s="239"/>
      <c r="L3" s="239"/>
      <c r="M3" s="239"/>
    </row>
    <row r="4" spans="1:13" ht="12.75">
      <c r="A4" s="240" t="s">
        <v>40</v>
      </c>
      <c r="B4" s="211"/>
      <c r="C4" s="211"/>
      <c r="D4" s="211"/>
      <c r="E4" s="211"/>
      <c r="F4" s="238" t="str">
        <f>'P&amp;L'!H4</f>
        <v>Amt in</v>
      </c>
      <c r="G4" s="241" t="str">
        <f>CONCATENATE(Parameters!C11," ",Parameters!C12)</f>
        <v>INR Lacs</v>
      </c>
      <c r="H4" s="241"/>
      <c r="I4" s="241"/>
      <c r="J4" s="241"/>
      <c r="K4" s="241"/>
      <c r="L4" s="241"/>
      <c r="M4" s="241"/>
    </row>
    <row r="5" spans="1:13" ht="13.5" thickBot="1">
      <c r="A5" s="242"/>
      <c r="B5" s="243"/>
      <c r="C5" s="244"/>
      <c r="D5" s="244"/>
      <c r="E5" s="244"/>
      <c r="F5" s="245"/>
      <c r="G5" s="244"/>
      <c r="H5" s="244"/>
      <c r="I5" s="244"/>
      <c r="J5" s="244"/>
      <c r="K5" s="244"/>
      <c r="L5" s="244"/>
      <c r="M5" s="244"/>
    </row>
    <row r="6" spans="1:18" ht="15" thickBot="1">
      <c r="A6" s="242"/>
      <c r="B6" s="44" t="s">
        <v>362</v>
      </c>
      <c r="C6" s="45"/>
      <c r="D6" s="246">
        <f>Saving!D7</f>
        <v>1</v>
      </c>
      <c r="E6" s="246">
        <f>Saving!E7</f>
        <v>2</v>
      </c>
      <c r="F6" s="246">
        <f>Saving!F7</f>
        <v>3</v>
      </c>
      <c r="G6" s="246">
        <f>Saving!G7</f>
        <v>4</v>
      </c>
      <c r="H6" s="246">
        <f>Saving!H7</f>
        <v>5</v>
      </c>
      <c r="I6" s="246">
        <f>Saving!I7</f>
        <v>6</v>
      </c>
      <c r="J6" s="246">
        <f>Saving!J7</f>
        <v>7</v>
      </c>
      <c r="K6" s="246">
        <f>Saving!K7</f>
        <v>8</v>
      </c>
      <c r="L6" s="246">
        <f>Saving!L7</f>
        <v>9</v>
      </c>
      <c r="M6" s="246">
        <f>Saving!M7</f>
        <v>10</v>
      </c>
      <c r="N6" s="46">
        <f>Saving!I100</f>
        <v>0</v>
      </c>
      <c r="O6" s="46">
        <f>Saving!J100</f>
        <v>0</v>
      </c>
      <c r="P6" s="46">
        <f>Saving!K100</f>
        <v>0</v>
      </c>
      <c r="Q6" s="46">
        <f>Saving!L100</f>
        <v>0</v>
      </c>
      <c r="R6" s="46">
        <f>Saving!M100</f>
        <v>0</v>
      </c>
    </row>
    <row r="7" spans="1:18" ht="13.5" thickBot="1">
      <c r="A7" s="242"/>
      <c r="B7" s="47" t="str">
        <f>'Capital Cost '!B8</f>
        <v>Land</v>
      </c>
      <c r="C7" s="48">
        <f>'Capital Cost '!C8</f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158"/>
      <c r="O7" s="50"/>
      <c r="P7" s="50"/>
      <c r="Q7" s="50"/>
      <c r="R7" s="50"/>
    </row>
    <row r="8" spans="1:18" ht="13.5" thickBot="1">
      <c r="A8" s="242"/>
      <c r="B8" s="51" t="s">
        <v>279</v>
      </c>
      <c r="C8" s="52"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158"/>
      <c r="O8" s="50"/>
      <c r="P8" s="50"/>
      <c r="Q8" s="50"/>
      <c r="R8" s="50"/>
    </row>
    <row r="9" spans="1:18" ht="13.5" thickBot="1">
      <c r="A9" s="242"/>
      <c r="B9" s="51" t="s">
        <v>203</v>
      </c>
      <c r="C9" s="53"/>
      <c r="D9" s="248">
        <f>C7</f>
        <v>0</v>
      </c>
      <c r="E9" s="248">
        <f>D12</f>
        <v>0</v>
      </c>
      <c r="F9" s="248">
        <f>E12</f>
        <v>0</v>
      </c>
      <c r="G9" s="248">
        <f>F12</f>
        <v>0</v>
      </c>
      <c r="H9" s="248">
        <f aca="true" t="shared" si="0" ref="H9:M9">G12</f>
        <v>0</v>
      </c>
      <c r="I9" s="248">
        <f t="shared" si="0"/>
        <v>0</v>
      </c>
      <c r="J9" s="248">
        <f t="shared" si="0"/>
        <v>0</v>
      </c>
      <c r="K9" s="248">
        <f t="shared" si="0"/>
        <v>0</v>
      </c>
      <c r="L9" s="248">
        <f t="shared" si="0"/>
        <v>0</v>
      </c>
      <c r="M9" s="248">
        <f t="shared" si="0"/>
        <v>0</v>
      </c>
      <c r="N9" s="48" t="e">
        <f>#REF!</f>
        <v>#REF!</v>
      </c>
      <c r="O9" s="48" t="e">
        <f>N12</f>
        <v>#REF!</v>
      </c>
      <c r="P9" s="48" t="e">
        <f>O12</f>
        <v>#REF!</v>
      </c>
      <c r="Q9" s="48" t="e">
        <f>P12</f>
        <v>#REF!</v>
      </c>
      <c r="R9" s="48" t="e">
        <f>Q12</f>
        <v>#REF!</v>
      </c>
    </row>
    <row r="10" spans="1:18" ht="13.5" thickBot="1">
      <c r="A10" s="242"/>
      <c r="B10" s="51" t="s">
        <v>32</v>
      </c>
      <c r="C10" s="49"/>
      <c r="D10" s="249">
        <f>IF(D6&lt;=Parameters!$C$118,$C$7*$C$8,0)</f>
        <v>0</v>
      </c>
      <c r="E10" s="249">
        <f>IF(E6&lt;=Parameters!$C$118,$C$7*$C$8,0)</f>
        <v>0</v>
      </c>
      <c r="F10" s="249">
        <f>IF(F6&lt;=Parameters!$C$118,$C$7*$C$8,0)</f>
        <v>0</v>
      </c>
      <c r="G10" s="249">
        <f>IF(G6&lt;=Parameters!$C$118,$C$7*$C$8,0)</f>
        <v>0</v>
      </c>
      <c r="H10" s="249">
        <f>IF(H6&lt;=Parameters!$C$118,$C$7*$C$8,0)</f>
        <v>0</v>
      </c>
      <c r="I10" s="249">
        <f>IF(I6&lt;=Parameters!$C$118,$C$7*$C$8,0)</f>
        <v>0</v>
      </c>
      <c r="J10" s="249">
        <f>IF(J6&lt;=Parameters!$C$118,$C$7*$C$8,0)</f>
        <v>0</v>
      </c>
      <c r="K10" s="249">
        <f>IF(K6&lt;=Parameters!$C$118,$C$7*$C$8,0)</f>
        <v>0</v>
      </c>
      <c r="L10" s="249">
        <f>IF(L6&lt;=Parameters!$C$118,$C$7*$C$8,0)</f>
        <v>0</v>
      </c>
      <c r="M10" s="249">
        <f>IF(M6&lt;=Parameters!$C$118,$C$7*$C$8,0)</f>
        <v>0</v>
      </c>
      <c r="N10" s="54" t="e">
        <f>#REF!*#REF!</f>
        <v>#REF!</v>
      </c>
      <c r="O10" s="54" t="e">
        <f>N12*#REF!</f>
        <v>#REF!</v>
      </c>
      <c r="P10" s="54" t="e">
        <f>O12*#REF!</f>
        <v>#REF!</v>
      </c>
      <c r="Q10" s="54" t="e">
        <f>P12*#REF!</f>
        <v>#REF!</v>
      </c>
      <c r="R10" s="54" t="e">
        <f>Q12*#REF!</f>
        <v>#REF!</v>
      </c>
    </row>
    <row r="11" spans="1:18" ht="13.5" thickBot="1">
      <c r="A11" s="242"/>
      <c r="B11" s="51" t="s">
        <v>204</v>
      </c>
      <c r="C11" s="49"/>
      <c r="D11" s="249">
        <f>D10</f>
        <v>0</v>
      </c>
      <c r="E11" s="249">
        <f>D11+E10</f>
        <v>0</v>
      </c>
      <c r="F11" s="249">
        <f>E11+F10</f>
        <v>0</v>
      </c>
      <c r="G11" s="249">
        <f>F11+G10</f>
        <v>0</v>
      </c>
      <c r="H11" s="249">
        <f aca="true" t="shared" si="1" ref="H11:M11">G11+H10</f>
        <v>0</v>
      </c>
      <c r="I11" s="249">
        <f t="shared" si="1"/>
        <v>0</v>
      </c>
      <c r="J11" s="249">
        <f t="shared" si="1"/>
        <v>0</v>
      </c>
      <c r="K11" s="249">
        <f t="shared" si="1"/>
        <v>0</v>
      </c>
      <c r="L11" s="249">
        <f t="shared" si="1"/>
        <v>0</v>
      </c>
      <c r="M11" s="249">
        <f t="shared" si="1"/>
        <v>0</v>
      </c>
      <c r="N11" s="54" t="e">
        <f>#REF!+N10</f>
        <v>#REF!</v>
      </c>
      <c r="O11" s="54" t="e">
        <f>N11+O10</f>
        <v>#REF!</v>
      </c>
      <c r="P11" s="54" t="e">
        <f>O11+P10</f>
        <v>#REF!</v>
      </c>
      <c r="Q11" s="54" t="e">
        <f>P11+Q10</f>
        <v>#REF!</v>
      </c>
      <c r="R11" s="54" t="e">
        <f>Q11+R10</f>
        <v>#REF!</v>
      </c>
    </row>
    <row r="12" spans="1:18" ht="13.5" thickBot="1">
      <c r="A12" s="242"/>
      <c r="B12" s="55" t="s">
        <v>205</v>
      </c>
      <c r="C12" s="56"/>
      <c r="D12" s="250">
        <f aca="true" t="shared" si="2" ref="D12:R12">D9-D10</f>
        <v>0</v>
      </c>
      <c r="E12" s="250">
        <f t="shared" si="2"/>
        <v>0</v>
      </c>
      <c r="F12" s="250">
        <f t="shared" si="2"/>
        <v>0</v>
      </c>
      <c r="G12" s="250">
        <f t="shared" si="2"/>
        <v>0</v>
      </c>
      <c r="H12" s="250">
        <f aca="true" t="shared" si="3" ref="H12:M12">H9-H10</f>
        <v>0</v>
      </c>
      <c r="I12" s="250">
        <f t="shared" si="3"/>
        <v>0</v>
      </c>
      <c r="J12" s="250">
        <f t="shared" si="3"/>
        <v>0</v>
      </c>
      <c r="K12" s="250">
        <f t="shared" si="3"/>
        <v>0</v>
      </c>
      <c r="L12" s="250">
        <f t="shared" si="3"/>
        <v>0</v>
      </c>
      <c r="M12" s="250">
        <f t="shared" si="3"/>
        <v>0</v>
      </c>
      <c r="N12" s="57" t="e">
        <f t="shared" si="2"/>
        <v>#REF!</v>
      </c>
      <c r="O12" s="57" t="e">
        <f t="shared" si="2"/>
        <v>#REF!</v>
      </c>
      <c r="P12" s="57" t="e">
        <f t="shared" si="2"/>
        <v>#REF!</v>
      </c>
      <c r="Q12" s="57" t="e">
        <f t="shared" si="2"/>
        <v>#REF!</v>
      </c>
      <c r="R12" s="57" t="e">
        <f t="shared" si="2"/>
        <v>#REF!</v>
      </c>
    </row>
    <row r="13" spans="1:13" ht="13.5" thickBot="1">
      <c r="A13" s="479"/>
      <c r="B13" s="190"/>
      <c r="C13" s="480"/>
      <c r="D13" s="480"/>
      <c r="E13" s="480"/>
      <c r="F13" s="288"/>
      <c r="G13" s="480"/>
      <c r="H13" s="480"/>
      <c r="I13" s="480"/>
      <c r="J13" s="480"/>
      <c r="K13" s="480"/>
      <c r="L13" s="480"/>
      <c r="M13" s="480"/>
    </row>
    <row r="14" spans="1:18" ht="14.25">
      <c r="A14" s="195"/>
      <c r="B14" s="481" t="s">
        <v>362</v>
      </c>
      <c r="C14" s="49"/>
      <c r="D14" s="48">
        <f>D6</f>
        <v>1</v>
      </c>
      <c r="E14" s="48">
        <f aca="true" t="shared" si="4" ref="E14:M14">E6</f>
        <v>2</v>
      </c>
      <c r="F14" s="48">
        <f t="shared" si="4"/>
        <v>3</v>
      </c>
      <c r="G14" s="48">
        <f t="shared" si="4"/>
        <v>4</v>
      </c>
      <c r="H14" s="48">
        <f t="shared" si="4"/>
        <v>5</v>
      </c>
      <c r="I14" s="48">
        <f t="shared" si="4"/>
        <v>6</v>
      </c>
      <c r="J14" s="48">
        <f t="shared" si="4"/>
        <v>7</v>
      </c>
      <c r="K14" s="48">
        <f t="shared" si="4"/>
        <v>8</v>
      </c>
      <c r="L14" s="48">
        <f t="shared" si="4"/>
        <v>9</v>
      </c>
      <c r="M14" s="48">
        <f t="shared" si="4"/>
        <v>10</v>
      </c>
      <c r="N14" s="474">
        <f>Saving!I108</f>
        <v>0</v>
      </c>
      <c r="O14" s="46">
        <f>Saving!J108</f>
        <v>0</v>
      </c>
      <c r="P14" s="46">
        <f>Saving!K108</f>
        <v>0</v>
      </c>
      <c r="Q14" s="46">
        <f>Saving!L108</f>
        <v>0</v>
      </c>
      <c r="R14" s="46">
        <f>Saving!M108</f>
        <v>0</v>
      </c>
    </row>
    <row r="15" spans="1:18" ht="12.75">
      <c r="A15" s="195"/>
      <c r="B15" s="49" t="str">
        <f>'Capital Cost '!B9</f>
        <v>Building</v>
      </c>
      <c r="C15" s="48">
        <f>'Capital Cost '!C9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75"/>
      <c r="O15" s="50"/>
      <c r="P15" s="50"/>
      <c r="Q15" s="50"/>
      <c r="R15" s="50"/>
    </row>
    <row r="16" spans="1:18" ht="12.75">
      <c r="A16" s="195"/>
      <c r="B16" s="482" t="s">
        <v>279</v>
      </c>
      <c r="C16" s="159">
        <f>Parameters!C85</f>
        <v>0.0163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5"/>
      <c r="O16" s="50"/>
      <c r="P16" s="50"/>
      <c r="Q16" s="50"/>
      <c r="R16" s="50"/>
    </row>
    <row r="17" spans="1:18" ht="12.75">
      <c r="A17" s="195"/>
      <c r="B17" s="482" t="s">
        <v>203</v>
      </c>
      <c r="C17" s="53"/>
      <c r="D17" s="248">
        <f>C15</f>
        <v>0</v>
      </c>
      <c r="E17" s="248">
        <f>D20</f>
        <v>0</v>
      </c>
      <c r="F17" s="248">
        <f>E20</f>
        <v>0</v>
      </c>
      <c r="G17" s="248">
        <f>F20</f>
        <v>0</v>
      </c>
      <c r="H17" s="248">
        <f aca="true" t="shared" si="5" ref="H17:M17">G20</f>
        <v>0</v>
      </c>
      <c r="I17" s="248">
        <f t="shared" si="5"/>
        <v>0</v>
      </c>
      <c r="J17" s="248">
        <f t="shared" si="5"/>
        <v>0</v>
      </c>
      <c r="K17" s="248">
        <f t="shared" si="5"/>
        <v>0</v>
      </c>
      <c r="L17" s="248">
        <f t="shared" si="5"/>
        <v>0</v>
      </c>
      <c r="M17" s="248">
        <f t="shared" si="5"/>
        <v>0</v>
      </c>
      <c r="N17" s="476" t="e">
        <f>#REF!</f>
        <v>#REF!</v>
      </c>
      <c r="O17" s="48" t="e">
        <f>N20</f>
        <v>#REF!</v>
      </c>
      <c r="P17" s="48" t="e">
        <f>O20</f>
        <v>#REF!</v>
      </c>
      <c r="Q17" s="48" t="e">
        <f>P20</f>
        <v>#REF!</v>
      </c>
      <c r="R17" s="48" t="e">
        <f>Q20</f>
        <v>#REF!</v>
      </c>
    </row>
    <row r="18" spans="1:18" ht="12.75">
      <c r="A18" s="195"/>
      <c r="B18" s="482" t="s">
        <v>32</v>
      </c>
      <c r="C18" s="49"/>
      <c r="D18" s="249">
        <f>IF(D6&lt;=Parameters!$C$118,$C$15*$C$16,0)</f>
        <v>0</v>
      </c>
      <c r="E18" s="249">
        <f>IF(E6&lt;=Parameters!$C$118,$C$15*$C$16,0)</f>
        <v>0</v>
      </c>
      <c r="F18" s="249">
        <f>IF(F6&lt;=Parameters!$C$118,$C$15*$C$16,0)</f>
        <v>0</v>
      </c>
      <c r="G18" s="249">
        <f>IF(G6&lt;=Parameters!$C$118,$C$15*$C$16,0)</f>
        <v>0</v>
      </c>
      <c r="H18" s="249">
        <f>IF(H6&lt;=Parameters!$C$118,$C$15*$C$16,0)</f>
        <v>0</v>
      </c>
      <c r="I18" s="249">
        <f>IF(I6&lt;=Parameters!$C$118,$C$15*$C$16,0)</f>
        <v>0</v>
      </c>
      <c r="J18" s="249">
        <f>IF(J6&lt;=Parameters!$C$118,$C$15*$C$16,0)</f>
        <v>0</v>
      </c>
      <c r="K18" s="249">
        <f>IF(K6&lt;=Parameters!$C$118,$C$15*$C$16,0)</f>
        <v>0</v>
      </c>
      <c r="L18" s="249">
        <f>IF(L6&lt;=Parameters!$C$118,$C$15*$C$16,0)</f>
        <v>0</v>
      </c>
      <c r="M18" s="249">
        <f>IF(M6&lt;=Parameters!$C$118,$C$15*$C$16,0)</f>
        <v>0</v>
      </c>
      <c r="N18" s="477" t="e">
        <f>#REF!*#REF!</f>
        <v>#REF!</v>
      </c>
      <c r="O18" s="54" t="e">
        <f>N20*#REF!</f>
        <v>#REF!</v>
      </c>
      <c r="P18" s="54" t="e">
        <f>O20*#REF!</f>
        <v>#REF!</v>
      </c>
      <c r="Q18" s="54" t="e">
        <f>P20*#REF!</f>
        <v>#REF!</v>
      </c>
      <c r="R18" s="54" t="e">
        <f>Q20*#REF!</f>
        <v>#REF!</v>
      </c>
    </row>
    <row r="19" spans="1:18" ht="12.75">
      <c r="A19" s="195"/>
      <c r="B19" s="482" t="s">
        <v>204</v>
      </c>
      <c r="C19" s="49"/>
      <c r="D19" s="249">
        <f>D18</f>
        <v>0</v>
      </c>
      <c r="E19" s="249">
        <f aca="true" t="shared" si="6" ref="E19:M19">D19+E18</f>
        <v>0</v>
      </c>
      <c r="F19" s="249">
        <f t="shared" si="6"/>
        <v>0</v>
      </c>
      <c r="G19" s="249">
        <f t="shared" si="6"/>
        <v>0</v>
      </c>
      <c r="H19" s="249">
        <f t="shared" si="6"/>
        <v>0</v>
      </c>
      <c r="I19" s="249">
        <f t="shared" si="6"/>
        <v>0</v>
      </c>
      <c r="J19" s="249">
        <f t="shared" si="6"/>
        <v>0</v>
      </c>
      <c r="K19" s="249">
        <f t="shared" si="6"/>
        <v>0</v>
      </c>
      <c r="L19" s="249">
        <f t="shared" si="6"/>
        <v>0</v>
      </c>
      <c r="M19" s="249">
        <f t="shared" si="6"/>
        <v>0</v>
      </c>
      <c r="N19" s="477" t="e">
        <f>#REF!+N18</f>
        <v>#REF!</v>
      </c>
      <c r="O19" s="54" t="e">
        <f>N19+O18</f>
        <v>#REF!</v>
      </c>
      <c r="P19" s="54" t="e">
        <f>O19+P18</f>
        <v>#REF!</v>
      </c>
      <c r="Q19" s="54" t="e">
        <f>P19+Q18</f>
        <v>#REF!</v>
      </c>
      <c r="R19" s="54" t="e">
        <f>Q19+R18</f>
        <v>#REF!</v>
      </c>
    </row>
    <row r="20" spans="1:18" ht="13.5" thickBot="1">
      <c r="A20" s="195"/>
      <c r="B20" s="482" t="s">
        <v>205</v>
      </c>
      <c r="C20" s="49"/>
      <c r="D20" s="248">
        <f aca="true" t="shared" si="7" ref="D20:M20">D17-D18</f>
        <v>0</v>
      </c>
      <c r="E20" s="248">
        <f t="shared" si="7"/>
        <v>0</v>
      </c>
      <c r="F20" s="248">
        <f t="shared" si="7"/>
        <v>0</v>
      </c>
      <c r="G20" s="248">
        <f t="shared" si="7"/>
        <v>0</v>
      </c>
      <c r="H20" s="248">
        <f t="shared" si="7"/>
        <v>0</v>
      </c>
      <c r="I20" s="248">
        <f t="shared" si="7"/>
        <v>0</v>
      </c>
      <c r="J20" s="248">
        <f t="shared" si="7"/>
        <v>0</v>
      </c>
      <c r="K20" s="248">
        <f t="shared" si="7"/>
        <v>0</v>
      </c>
      <c r="L20" s="248">
        <f t="shared" si="7"/>
        <v>0</v>
      </c>
      <c r="M20" s="248">
        <f t="shared" si="7"/>
        <v>0</v>
      </c>
      <c r="N20" s="478" t="e">
        <f>N17-N18</f>
        <v>#REF!</v>
      </c>
      <c r="O20" s="57" t="e">
        <f>O17-O18</f>
        <v>#REF!</v>
      </c>
      <c r="P20" s="57" t="e">
        <f>P17-P18</f>
        <v>#REF!</v>
      </c>
      <c r="Q20" s="57" t="e">
        <f>Q17-Q18</f>
        <v>#REF!</v>
      </c>
      <c r="R20" s="57" t="e">
        <f>R17-R18</f>
        <v>#REF!</v>
      </c>
    </row>
    <row r="21" spans="1:13" ht="12.75" hidden="1">
      <c r="A21" s="483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</row>
    <row r="22" spans="1:13" ht="12.75" hidden="1">
      <c r="A22" s="483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</row>
    <row r="23" spans="1:13" ht="12.75" hidden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</row>
    <row r="24" spans="1:13" ht="12.75" hidden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</row>
    <row r="25" spans="1:13" ht="12.75" hidden="1">
      <c r="A25" s="483"/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</row>
    <row r="26" spans="1:13" ht="12.75" hidden="1">
      <c r="A26" s="483"/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</row>
    <row r="27" spans="1:13" ht="12.75" hidden="1">
      <c r="A27" s="483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</row>
    <row r="28" spans="1:13" ht="12.75" hidden="1">
      <c r="A28" s="483"/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</row>
    <row r="29" spans="1:13" ht="12.75" hidden="1">
      <c r="A29" s="483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</row>
    <row r="30" spans="1:13" ht="12.75" hidden="1">
      <c r="A30" s="483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</row>
    <row r="31" spans="1:13" ht="12.75" hidden="1">
      <c r="A31" s="483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</row>
    <row r="32" spans="1:13" ht="12.75" hidden="1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</row>
    <row r="33" spans="1:13" ht="12.75" hidden="1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</row>
    <row r="34" spans="1:13" ht="12.75" hidden="1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</row>
    <row r="35" spans="1:13" ht="12.75" hidden="1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</row>
    <row r="36" spans="1:13" ht="12.75" hidden="1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</row>
    <row r="37" spans="1:13" ht="12.75" hidden="1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</row>
    <row r="38" spans="1:13" ht="12.75" hidden="1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</row>
    <row r="39" spans="1:13" ht="12.75" hidden="1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</row>
    <row r="40" spans="1:13" ht="12.75" hidden="1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</row>
    <row r="41" spans="1:13" ht="12.75" hidden="1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</row>
    <row r="42" spans="1:13" ht="12.75" hidden="1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</row>
    <row r="43" spans="1:13" ht="12.75" hidden="1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</row>
    <row r="44" spans="1:13" ht="12.75" hidden="1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</row>
    <row r="45" spans="1:13" ht="12.75" hidden="1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</row>
    <row r="46" spans="1:13" ht="12.75" hidden="1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</row>
    <row r="47" spans="1:13" ht="13.5" thickBot="1">
      <c r="A47" s="483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</row>
    <row r="48" spans="1:18" ht="14.25">
      <c r="A48" s="195"/>
      <c r="B48" s="481" t="s">
        <v>362</v>
      </c>
      <c r="C48" s="49"/>
      <c r="D48" s="48">
        <f>D14</f>
        <v>1</v>
      </c>
      <c r="E48" s="48">
        <f aca="true" t="shared" si="8" ref="E48:M48">E14</f>
        <v>2</v>
      </c>
      <c r="F48" s="48">
        <f t="shared" si="8"/>
        <v>3</v>
      </c>
      <c r="G48" s="48">
        <f t="shared" si="8"/>
        <v>4</v>
      </c>
      <c r="H48" s="48">
        <f t="shared" si="8"/>
        <v>5</v>
      </c>
      <c r="I48" s="48">
        <f t="shared" si="8"/>
        <v>6</v>
      </c>
      <c r="J48" s="48">
        <f t="shared" si="8"/>
        <v>7</v>
      </c>
      <c r="K48" s="48">
        <f t="shared" si="8"/>
        <v>8</v>
      </c>
      <c r="L48" s="48">
        <f t="shared" si="8"/>
        <v>9</v>
      </c>
      <c r="M48" s="48">
        <f t="shared" si="8"/>
        <v>10</v>
      </c>
      <c r="N48" s="474">
        <f>Saving!I142</f>
        <v>0</v>
      </c>
      <c r="O48" s="46">
        <f>Saving!J142</f>
        <v>0</v>
      </c>
      <c r="P48" s="46">
        <f>Saving!K142</f>
        <v>0</v>
      </c>
      <c r="Q48" s="46">
        <f>Saving!L142</f>
        <v>0</v>
      </c>
      <c r="R48" s="46">
        <f>Saving!M142</f>
        <v>0</v>
      </c>
    </row>
    <row r="49" spans="1:18" ht="12.75">
      <c r="A49" s="195"/>
      <c r="B49" s="49" t="str">
        <f>'Capital Cost '!B10</f>
        <v>Plant &amp; Machinery</v>
      </c>
      <c r="C49" s="49">
        <f>'Capital Cost '!C10</f>
        <v>117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75"/>
      <c r="O49" s="50"/>
      <c r="P49" s="50"/>
      <c r="Q49" s="50"/>
      <c r="R49" s="50"/>
    </row>
    <row r="50" spans="1:18" ht="12.75">
      <c r="A50" s="195"/>
      <c r="B50" s="482" t="s">
        <v>279</v>
      </c>
      <c r="C50" s="159">
        <f>Parameters!C86</f>
        <v>0.0528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75"/>
      <c r="O50" s="50"/>
      <c r="P50" s="50"/>
      <c r="Q50" s="50"/>
      <c r="R50" s="50"/>
    </row>
    <row r="51" spans="1:18" ht="12.75">
      <c r="A51" s="195"/>
      <c r="B51" s="482" t="s">
        <v>203</v>
      </c>
      <c r="C51" s="53"/>
      <c r="D51" s="248">
        <f>C49</f>
        <v>117</v>
      </c>
      <c r="E51" s="248">
        <f>D54</f>
        <v>110.8224</v>
      </c>
      <c r="F51" s="248">
        <f>E54</f>
        <v>104.6448</v>
      </c>
      <c r="G51" s="248">
        <f>F54</f>
        <v>98.4672</v>
      </c>
      <c r="H51" s="248">
        <f aca="true" t="shared" si="9" ref="H51:M51">G54</f>
        <v>92.28960000000001</v>
      </c>
      <c r="I51" s="248">
        <f t="shared" si="9"/>
        <v>86.11200000000001</v>
      </c>
      <c r="J51" s="248">
        <f t="shared" si="9"/>
        <v>79.93440000000001</v>
      </c>
      <c r="K51" s="248">
        <f t="shared" si="9"/>
        <v>73.75680000000001</v>
      </c>
      <c r="L51" s="248">
        <f t="shared" si="9"/>
        <v>67.57920000000001</v>
      </c>
      <c r="M51" s="248">
        <f t="shared" si="9"/>
        <v>61.401600000000016</v>
      </c>
      <c r="N51" s="476" t="e">
        <f>#REF!</f>
        <v>#REF!</v>
      </c>
      <c r="O51" s="48" t="e">
        <f>N54</f>
        <v>#REF!</v>
      </c>
      <c r="P51" s="48" t="e">
        <f>O54</f>
        <v>#REF!</v>
      </c>
      <c r="Q51" s="48" t="e">
        <f>P54</f>
        <v>#REF!</v>
      </c>
      <c r="R51" s="48" t="e">
        <f>Q54</f>
        <v>#REF!</v>
      </c>
    </row>
    <row r="52" spans="1:18" ht="12.75">
      <c r="A52" s="195"/>
      <c r="B52" s="482" t="s">
        <v>32</v>
      </c>
      <c r="C52" s="49"/>
      <c r="D52" s="249">
        <f>IF(D6&lt;=Parameters!$C$118,$C$49*$C$50,0)</f>
        <v>6.1776</v>
      </c>
      <c r="E52" s="249">
        <f>IF(E6&lt;=Parameters!$C$118,$C$49*$C$50,0)</f>
        <v>6.1776</v>
      </c>
      <c r="F52" s="249">
        <f>IF(F6&lt;=Parameters!$C$118,$C$49*$C$50,0)</f>
        <v>6.1776</v>
      </c>
      <c r="G52" s="249">
        <f>IF(G6&lt;=Parameters!$C$118,$C$49*$C$50,0)</f>
        <v>6.1776</v>
      </c>
      <c r="H52" s="249">
        <f>IF(H6&lt;=Parameters!$C$118,$C$49*$C$50,0)</f>
        <v>6.1776</v>
      </c>
      <c r="I52" s="249">
        <f>IF(I6&lt;=Parameters!$C$118,$C$49*$C$50,0)</f>
        <v>6.1776</v>
      </c>
      <c r="J52" s="249">
        <f>IF(J6&lt;=Parameters!$C$118,$C$49*$C$50,0)</f>
        <v>6.1776</v>
      </c>
      <c r="K52" s="249">
        <f>IF(K6&lt;=Parameters!$C$118,$C$49*$C$50,0)</f>
        <v>6.1776</v>
      </c>
      <c r="L52" s="249">
        <f>IF(L6&lt;=Parameters!$C$118,$C$49*$C$50,0)</f>
        <v>6.1776</v>
      </c>
      <c r="M52" s="249">
        <f>IF(M6&lt;=Parameters!$C$118,$C$49*$C$50,0)</f>
        <v>6.1776</v>
      </c>
      <c r="N52" s="477" t="e">
        <f>#REF!*#REF!</f>
        <v>#REF!</v>
      </c>
      <c r="O52" s="54" t="e">
        <f>N54*#REF!</f>
        <v>#REF!</v>
      </c>
      <c r="P52" s="54" t="e">
        <f>O54*#REF!</f>
        <v>#REF!</v>
      </c>
      <c r="Q52" s="54" t="e">
        <f>P54*#REF!</f>
        <v>#REF!</v>
      </c>
      <c r="R52" s="54" t="e">
        <f>Q54*#REF!</f>
        <v>#REF!</v>
      </c>
    </row>
    <row r="53" spans="1:18" ht="12.75">
      <c r="A53" s="195"/>
      <c r="B53" s="482" t="s">
        <v>204</v>
      </c>
      <c r="C53" s="49"/>
      <c r="D53" s="249">
        <f>D52</f>
        <v>6.1776</v>
      </c>
      <c r="E53" s="249">
        <f aca="true" t="shared" si="10" ref="E53:M53">D53+E52</f>
        <v>12.3552</v>
      </c>
      <c r="F53" s="249">
        <f t="shared" si="10"/>
        <v>18.5328</v>
      </c>
      <c r="G53" s="249">
        <f t="shared" si="10"/>
        <v>24.7104</v>
      </c>
      <c r="H53" s="249">
        <f t="shared" si="10"/>
        <v>30.887999999999998</v>
      </c>
      <c r="I53" s="249">
        <f t="shared" si="10"/>
        <v>37.065599999999996</v>
      </c>
      <c r="J53" s="249">
        <f t="shared" si="10"/>
        <v>43.243199999999995</v>
      </c>
      <c r="K53" s="249">
        <f t="shared" si="10"/>
        <v>49.42079999999999</v>
      </c>
      <c r="L53" s="249">
        <f t="shared" si="10"/>
        <v>55.59839999999999</v>
      </c>
      <c r="M53" s="249">
        <f t="shared" si="10"/>
        <v>61.77599999999999</v>
      </c>
      <c r="N53" s="477" t="e">
        <f>#REF!+N52</f>
        <v>#REF!</v>
      </c>
      <c r="O53" s="54" t="e">
        <f>N53+O52</f>
        <v>#REF!</v>
      </c>
      <c r="P53" s="54" t="e">
        <f>O53+P52</f>
        <v>#REF!</v>
      </c>
      <c r="Q53" s="54" t="e">
        <f>P53+Q52</f>
        <v>#REF!</v>
      </c>
      <c r="R53" s="54" t="e">
        <f>Q53+R52</f>
        <v>#REF!</v>
      </c>
    </row>
    <row r="54" spans="1:18" ht="13.5" thickBot="1">
      <c r="A54" s="195"/>
      <c r="B54" s="482" t="s">
        <v>205</v>
      </c>
      <c r="C54" s="49"/>
      <c r="D54" s="248">
        <f>D51-D52</f>
        <v>110.8224</v>
      </c>
      <c r="E54" s="248">
        <f aca="true" t="shared" si="11" ref="E54:M54">E51-E52</f>
        <v>104.6448</v>
      </c>
      <c r="F54" s="248">
        <f t="shared" si="11"/>
        <v>98.4672</v>
      </c>
      <c r="G54" s="248">
        <f t="shared" si="11"/>
        <v>92.28960000000001</v>
      </c>
      <c r="H54" s="248">
        <f t="shared" si="11"/>
        <v>86.11200000000001</v>
      </c>
      <c r="I54" s="248">
        <f t="shared" si="11"/>
        <v>79.93440000000001</v>
      </c>
      <c r="J54" s="248">
        <f t="shared" si="11"/>
        <v>73.75680000000001</v>
      </c>
      <c r="K54" s="248">
        <f t="shared" si="11"/>
        <v>67.57920000000001</v>
      </c>
      <c r="L54" s="248">
        <f t="shared" si="11"/>
        <v>61.401600000000016</v>
      </c>
      <c r="M54" s="248">
        <f t="shared" si="11"/>
        <v>55.22400000000002</v>
      </c>
      <c r="N54" s="478" t="e">
        <f>N51-N52</f>
        <v>#REF!</v>
      </c>
      <c r="O54" s="57" t="e">
        <f>O51-O52</f>
        <v>#REF!</v>
      </c>
      <c r="P54" s="57" t="e">
        <f>P51-P52</f>
        <v>#REF!</v>
      </c>
      <c r="Q54" s="57" t="e">
        <f>Q51-Q52</f>
        <v>#REF!</v>
      </c>
      <c r="R54" s="57" t="e">
        <f>R51-R52</f>
        <v>#REF!</v>
      </c>
    </row>
    <row r="55" ht="12.75"/>
    <row r="56" spans="2:13" ht="12.75">
      <c r="B56" s="585" t="s">
        <v>280</v>
      </c>
      <c r="C56" s="586"/>
      <c r="D56" s="247">
        <f>D10+D18+D52</f>
        <v>6.1776</v>
      </c>
      <c r="E56" s="247">
        <f aca="true" t="shared" si="12" ref="E56:M56">E10+E18+E52</f>
        <v>6.1776</v>
      </c>
      <c r="F56" s="247">
        <f t="shared" si="12"/>
        <v>6.1776</v>
      </c>
      <c r="G56" s="247">
        <f t="shared" si="12"/>
        <v>6.1776</v>
      </c>
      <c r="H56" s="247">
        <f t="shared" si="12"/>
        <v>6.1776</v>
      </c>
      <c r="I56" s="247">
        <f t="shared" si="12"/>
        <v>6.1776</v>
      </c>
      <c r="J56" s="247">
        <f t="shared" si="12"/>
        <v>6.1776</v>
      </c>
      <c r="K56" s="247">
        <f t="shared" si="12"/>
        <v>6.1776</v>
      </c>
      <c r="L56" s="247">
        <f t="shared" si="12"/>
        <v>6.1776</v>
      </c>
      <c r="M56" s="247">
        <f t="shared" si="12"/>
        <v>6.1776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</sheetData>
  <sheetProtection password="DAD4" sheet="1"/>
  <mergeCells count="1">
    <mergeCell ref="B56:C56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&amp;CPartial Risk Gurantee for Energy Efficiency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K137"/>
  <sheetViews>
    <sheetView zoomScaleSheetLayoutView="106" workbookViewId="0" topLeftCell="A1">
      <selection activeCell="J16" sqref="J16"/>
    </sheetView>
  </sheetViews>
  <sheetFormatPr defaultColWidth="5.7109375" defaultRowHeight="12.75" zeroHeight="1"/>
  <cols>
    <col min="1" max="1" width="5.7109375" style="21" customWidth="1"/>
    <col min="2" max="2" width="14.00390625" style="21" customWidth="1"/>
    <col min="3" max="4" width="9.57421875" style="235" bestFit="1" customWidth="1"/>
    <col min="5" max="5" width="52.421875" style="235" bestFit="1" customWidth="1"/>
    <col min="6" max="6" width="18.421875" style="235" customWidth="1"/>
    <col min="7" max="7" width="11.8515625" style="235" bestFit="1" customWidth="1"/>
    <col min="8" max="8" width="22.57421875" style="235" customWidth="1"/>
    <col min="9" max="9" width="5.7109375" style="235" customWidth="1"/>
    <col min="10" max="10" width="10.57421875" style="235" bestFit="1" customWidth="1"/>
    <col min="11" max="11" width="9.57421875" style="235" bestFit="1" customWidth="1"/>
    <col min="12" max="16384" width="5.7109375" style="21" customWidth="1"/>
  </cols>
  <sheetData>
    <row r="1" spans="2:11" ht="12.75">
      <c r="B1" s="179" t="str">
        <f>Parameters!$C$3</f>
        <v>Darashaw &amp; Co.</v>
      </c>
      <c r="C1" s="181"/>
      <c r="D1" s="181"/>
      <c r="E1" s="181"/>
      <c r="F1" s="181"/>
      <c r="G1" s="181"/>
      <c r="H1" s="181"/>
      <c r="I1" s="181"/>
      <c r="J1" s="181"/>
      <c r="K1" s="182"/>
    </row>
    <row r="2" spans="2:11" ht="12.75">
      <c r="B2" s="185" t="str">
        <f>Parameters!$C$4</f>
        <v>Shirdi Nagar Panchyat Street Light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2:11" ht="12.75">
      <c r="B3" s="188"/>
      <c r="C3" s="186"/>
      <c r="D3" s="186"/>
      <c r="E3" s="186"/>
      <c r="F3" s="186"/>
      <c r="G3" s="186"/>
      <c r="H3" s="186"/>
      <c r="I3" s="186"/>
      <c r="J3" s="186"/>
      <c r="K3" s="187"/>
    </row>
    <row r="4" spans="2:11" ht="12.75">
      <c r="B4" s="210" t="s">
        <v>45</v>
      </c>
      <c r="C4" s="186"/>
      <c r="D4" s="186"/>
      <c r="E4" s="186"/>
      <c r="F4" s="186"/>
      <c r="G4" s="186"/>
      <c r="H4" s="186"/>
      <c r="I4" s="186"/>
      <c r="J4" s="186"/>
      <c r="K4" s="187"/>
    </row>
    <row r="5" spans="2:11" ht="12.75">
      <c r="B5" s="188"/>
      <c r="C5" s="186"/>
      <c r="D5" s="186"/>
      <c r="E5" s="211"/>
      <c r="F5" s="186"/>
      <c r="G5" s="186"/>
      <c r="H5" s="186"/>
      <c r="I5" s="186"/>
      <c r="J5" s="186"/>
      <c r="K5" s="187"/>
    </row>
    <row r="6" spans="2:11" ht="12.75">
      <c r="B6" s="176" t="s">
        <v>46</v>
      </c>
      <c r="C6" s="196">
        <f>'Capital Cost '!C22</f>
        <v>75.2563168334961</v>
      </c>
      <c r="D6" s="195" t="str">
        <f>CONCATENATE(Parameters!C11," ",Parameters!C12)</f>
        <v>INR Lacs</v>
      </c>
      <c r="E6" s="211"/>
      <c r="F6" s="186"/>
      <c r="G6" s="186"/>
      <c r="H6" s="186"/>
      <c r="I6" s="186"/>
      <c r="J6" s="186"/>
      <c r="K6" s="187"/>
    </row>
    <row r="7" spans="2:11" ht="12.75">
      <c r="B7" s="176" t="s">
        <v>47</v>
      </c>
      <c r="C7" s="212">
        <f>Parameters!C22</f>
        <v>0.125</v>
      </c>
      <c r="D7" s="195" t="s">
        <v>48</v>
      </c>
      <c r="E7" s="211"/>
      <c r="F7" s="186"/>
      <c r="G7" s="186"/>
      <c r="H7" s="186"/>
      <c r="I7" s="186"/>
      <c r="J7" s="186"/>
      <c r="K7" s="187"/>
    </row>
    <row r="8" spans="2:11" ht="12.75">
      <c r="B8" s="176" t="s">
        <v>164</v>
      </c>
      <c r="C8" s="213">
        <f>Parameters!C26</f>
        <v>60</v>
      </c>
      <c r="D8" s="195" t="s">
        <v>154</v>
      </c>
      <c r="E8" s="211" t="s">
        <v>166</v>
      </c>
      <c r="F8" s="186"/>
      <c r="G8" s="186"/>
      <c r="H8" s="186"/>
      <c r="I8" s="186"/>
      <c r="J8" s="186"/>
      <c r="K8" s="187"/>
    </row>
    <row r="9" spans="2:11" ht="12.75" hidden="1">
      <c r="B9" s="176" t="s">
        <v>49</v>
      </c>
      <c r="C9" s="213">
        <f>(Parameters!C26-Parameters!C23)</f>
        <v>57</v>
      </c>
      <c r="D9" s="195" t="s">
        <v>154</v>
      </c>
      <c r="E9" s="211"/>
      <c r="F9" s="186"/>
      <c r="G9" s="186"/>
      <c r="H9" s="186"/>
      <c r="I9" s="186"/>
      <c r="J9" s="186"/>
      <c r="K9" s="187"/>
    </row>
    <row r="10" spans="2:11" ht="12.75">
      <c r="B10" s="176"/>
      <c r="C10" s="213"/>
      <c r="D10" s="195"/>
      <c r="E10" s="211"/>
      <c r="F10" s="186"/>
      <c r="G10" s="186"/>
      <c r="H10" s="186"/>
      <c r="I10" s="186"/>
      <c r="J10" s="186"/>
      <c r="K10" s="187"/>
    </row>
    <row r="11" spans="2:11" ht="12.75">
      <c r="B11" s="176" t="s">
        <v>50</v>
      </c>
      <c r="C11" s="213">
        <f>Parameters!C24</f>
        <v>3</v>
      </c>
      <c r="D11" s="195" t="s">
        <v>154</v>
      </c>
      <c r="E11" s="211" t="s">
        <v>165</v>
      </c>
      <c r="F11" s="186"/>
      <c r="G11" s="186"/>
      <c r="H11" s="186"/>
      <c r="I11" s="186"/>
      <c r="J11" s="186"/>
      <c r="K11" s="187"/>
    </row>
    <row r="12" spans="2:11" ht="12.75">
      <c r="B12" s="176" t="s">
        <v>51</v>
      </c>
      <c r="C12" s="213">
        <v>60</v>
      </c>
      <c r="D12" s="195" t="s">
        <v>154</v>
      </c>
      <c r="E12" s="211"/>
      <c r="F12" s="186"/>
      <c r="G12" s="186"/>
      <c r="H12" s="186"/>
      <c r="I12" s="186"/>
      <c r="J12" s="186"/>
      <c r="K12" s="187"/>
    </row>
    <row r="13" spans="2:11" ht="12.75">
      <c r="B13" s="188"/>
      <c r="C13" s="186"/>
      <c r="D13" s="186"/>
      <c r="E13" s="186"/>
      <c r="F13" s="186"/>
      <c r="G13" s="186"/>
      <c r="H13" s="189" t="str">
        <f>'P&amp;L'!H4</f>
        <v>Amt in</v>
      </c>
      <c r="I13" s="214"/>
      <c r="J13" s="190" t="str">
        <f>CONCATENATE(Parameters!C11," ",Parameters!C12)</f>
        <v>INR Lacs</v>
      </c>
      <c r="K13" s="215"/>
    </row>
    <row r="14" spans="2:11" ht="12.75">
      <c r="B14" s="176"/>
      <c r="C14" s="195"/>
      <c r="D14" s="216" t="s">
        <v>76</v>
      </c>
      <c r="E14" s="217"/>
      <c r="F14" s="216" t="s">
        <v>77</v>
      </c>
      <c r="G14" s="216" t="s">
        <v>74</v>
      </c>
      <c r="H14" s="216" t="s">
        <v>75</v>
      </c>
      <c r="I14" s="186"/>
      <c r="J14" s="216" t="s">
        <v>78</v>
      </c>
      <c r="K14" s="218" t="s">
        <v>78</v>
      </c>
    </row>
    <row r="15" spans="1:11" s="221" customFormat="1" ht="12.75" customHeight="1">
      <c r="A15" s="219" t="s">
        <v>41</v>
      </c>
      <c r="B15" s="220" t="s">
        <v>52</v>
      </c>
      <c r="C15" s="216" t="s">
        <v>155</v>
      </c>
      <c r="D15" s="216" t="s">
        <v>73</v>
      </c>
      <c r="E15" s="216" t="s">
        <v>35</v>
      </c>
      <c r="F15" s="216" t="s">
        <v>51</v>
      </c>
      <c r="G15" s="216" t="s">
        <v>51</v>
      </c>
      <c r="H15" s="216" t="s">
        <v>73</v>
      </c>
      <c r="I15" s="186"/>
      <c r="J15" s="216" t="s">
        <v>35</v>
      </c>
      <c r="K15" s="218" t="s">
        <v>77</v>
      </c>
    </row>
    <row r="16" spans="1:11" ht="12.75">
      <c r="A16" s="21">
        <f>IF(C9&gt;0,1,0)</f>
        <v>1</v>
      </c>
      <c r="B16" s="587">
        <f>Saving!D7</f>
        <v>1</v>
      </c>
      <c r="C16" s="217">
        <f>1</f>
        <v>1</v>
      </c>
      <c r="D16" s="222">
        <f>C6</f>
        <v>75.2563168334961</v>
      </c>
      <c r="E16" s="222">
        <f>IF(C16&lt;=Parameters!$C$23,0,D16*$C$7/12)</f>
        <v>0</v>
      </c>
      <c r="F16" s="222">
        <f>IF(C16&lt;=$C$11,0,MIN(D16,$C$6/($C$8-$C$11)))</f>
        <v>0</v>
      </c>
      <c r="G16" s="222">
        <f>E16+F16</f>
        <v>0</v>
      </c>
      <c r="H16" s="222">
        <f>D16+E16-G16</f>
        <v>75.2563168334961</v>
      </c>
      <c r="I16" s="199"/>
      <c r="J16" s="222">
        <f>SUM(E16:E27)</f>
        <v>6.560172355551469</v>
      </c>
      <c r="K16" s="223">
        <f>IF(J16&lt;-1,0,(SUM(F16:F27)))</f>
        <v>11.882576342130964</v>
      </c>
    </row>
    <row r="17" spans="1:11" ht="12.75">
      <c r="A17" s="21">
        <f aca="true" t="shared" si="0" ref="A17:A48">IF(A16&lt;=($C$9*4),(A16+1),"")</f>
        <v>2</v>
      </c>
      <c r="B17" s="588"/>
      <c r="C17" s="217">
        <f>C16+1</f>
        <v>2</v>
      </c>
      <c r="D17" s="222">
        <f>H16</f>
        <v>75.2563168334961</v>
      </c>
      <c r="E17" s="222">
        <f>IF(C17&lt;=Parameters!$C$23,0,D17*$C$7/12)</f>
        <v>0</v>
      </c>
      <c r="F17" s="222">
        <f aca="true" t="shared" si="1" ref="F17:F80">IF(C17&lt;=$C$11,0,MIN(D17,$C$6/($C$8-$C$11)))</f>
        <v>0</v>
      </c>
      <c r="G17" s="222">
        <f>E17+F17</f>
        <v>0</v>
      </c>
      <c r="H17" s="222">
        <f aca="true" t="shared" si="2" ref="H17:H80">D17+E17-G17</f>
        <v>75.2563168334961</v>
      </c>
      <c r="I17" s="199"/>
      <c r="J17" s="222"/>
      <c r="K17" s="223"/>
    </row>
    <row r="18" spans="1:11" ht="12.75">
      <c r="A18" s="21">
        <f t="shared" si="0"/>
        <v>3</v>
      </c>
      <c r="B18" s="588"/>
      <c r="C18" s="217">
        <f aca="true" t="shared" si="3" ref="C18:C81">C17+1</f>
        <v>3</v>
      </c>
      <c r="D18" s="222">
        <f aca="true" t="shared" si="4" ref="D18:D81">H17</f>
        <v>75.2563168334961</v>
      </c>
      <c r="E18" s="222">
        <f>IF(C18&lt;=Parameters!$C$23,0,D18*$C$7/12)</f>
        <v>0</v>
      </c>
      <c r="F18" s="222">
        <f t="shared" si="1"/>
        <v>0</v>
      </c>
      <c r="G18" s="222">
        <f>E18+F18</f>
        <v>0</v>
      </c>
      <c r="H18" s="222">
        <f t="shared" si="2"/>
        <v>75.2563168334961</v>
      </c>
      <c r="I18" s="199"/>
      <c r="J18" s="222"/>
      <c r="K18" s="223"/>
    </row>
    <row r="19" spans="1:11" ht="12.75">
      <c r="A19" s="21">
        <f t="shared" si="0"/>
        <v>4</v>
      </c>
      <c r="B19" s="588"/>
      <c r="C19" s="217">
        <f t="shared" si="3"/>
        <v>4</v>
      </c>
      <c r="D19" s="222">
        <f t="shared" si="4"/>
        <v>75.2563168334961</v>
      </c>
      <c r="E19" s="222">
        <f>IF(C19&lt;=Parameters!$C$23,0,D19*$C$7/12)</f>
        <v>0.7839199670155844</v>
      </c>
      <c r="F19" s="222">
        <f t="shared" si="1"/>
        <v>1.3202862602367738</v>
      </c>
      <c r="G19" s="222">
        <f aca="true" t="shared" si="5" ref="G19:G82">E19+F19</f>
        <v>2.1042062272523583</v>
      </c>
      <c r="H19" s="222">
        <f t="shared" si="2"/>
        <v>73.93603057325932</v>
      </c>
      <c r="I19" s="199"/>
      <c r="J19" s="222"/>
      <c r="K19" s="223"/>
    </row>
    <row r="20" spans="1:11" ht="12.75">
      <c r="A20" s="21">
        <f t="shared" si="0"/>
        <v>5</v>
      </c>
      <c r="B20" s="588"/>
      <c r="C20" s="217">
        <f t="shared" si="3"/>
        <v>5</v>
      </c>
      <c r="D20" s="222">
        <f t="shared" si="4"/>
        <v>73.93603057325932</v>
      </c>
      <c r="E20" s="222">
        <f>IF(C20&lt;=Parameters!$C$23,0,D20*$C$7/12)</f>
        <v>0.7701669851381179</v>
      </c>
      <c r="F20" s="222">
        <f t="shared" si="1"/>
        <v>1.3202862602367738</v>
      </c>
      <c r="G20" s="222">
        <f t="shared" si="5"/>
        <v>2.0904532453748916</v>
      </c>
      <c r="H20" s="222">
        <f t="shared" si="2"/>
        <v>72.61574431302255</v>
      </c>
      <c r="I20" s="199"/>
      <c r="J20" s="222"/>
      <c r="K20" s="223"/>
    </row>
    <row r="21" spans="1:11" ht="12.75">
      <c r="A21" s="21">
        <f t="shared" si="0"/>
        <v>6</v>
      </c>
      <c r="B21" s="588"/>
      <c r="C21" s="217">
        <f t="shared" si="3"/>
        <v>6</v>
      </c>
      <c r="D21" s="222">
        <f t="shared" si="4"/>
        <v>72.61574431302255</v>
      </c>
      <c r="E21" s="222">
        <f>IF(C21&lt;=Parameters!$C$23,0,D21*$C$7/12)</f>
        <v>0.7564140032606516</v>
      </c>
      <c r="F21" s="222">
        <f t="shared" si="1"/>
        <v>1.3202862602367738</v>
      </c>
      <c r="G21" s="222">
        <f t="shared" si="5"/>
        <v>2.0767002634974254</v>
      </c>
      <c r="H21" s="222">
        <f t="shared" si="2"/>
        <v>71.29545805278576</v>
      </c>
      <c r="I21" s="199"/>
      <c r="J21" s="222"/>
      <c r="K21" s="223"/>
    </row>
    <row r="22" spans="1:11" ht="12.75">
      <c r="A22" s="21">
        <f t="shared" si="0"/>
        <v>7</v>
      </c>
      <c r="B22" s="588"/>
      <c r="C22" s="217">
        <f t="shared" si="3"/>
        <v>7</v>
      </c>
      <c r="D22" s="222">
        <f t="shared" si="4"/>
        <v>71.29545805278576</v>
      </c>
      <c r="E22" s="222">
        <f>IF(C22&lt;=Parameters!$C$23,0,D22*$C$7/12)</f>
        <v>0.742661021383185</v>
      </c>
      <c r="F22" s="222">
        <f>IF(C22&lt;=$C$11,0,MIN(D22,$C$6/($C$8-$C$11)))</f>
        <v>1.3202862602367738</v>
      </c>
      <c r="G22" s="222">
        <f t="shared" si="5"/>
        <v>2.0629472816199588</v>
      </c>
      <c r="H22" s="222">
        <f t="shared" si="2"/>
        <v>69.97517179254899</v>
      </c>
      <c r="I22" s="199"/>
      <c r="J22" s="222"/>
      <c r="K22" s="223"/>
    </row>
    <row r="23" spans="1:11" ht="12.75">
      <c r="A23" s="21">
        <f t="shared" si="0"/>
        <v>8</v>
      </c>
      <c r="B23" s="588"/>
      <c r="C23" s="217">
        <f t="shared" si="3"/>
        <v>8</v>
      </c>
      <c r="D23" s="222">
        <f t="shared" si="4"/>
        <v>69.97517179254899</v>
      </c>
      <c r="E23" s="222">
        <f>IF(C23&lt;=Parameters!$C$23,0,D23*$C$7/12)</f>
        <v>0.7289080395057187</v>
      </c>
      <c r="F23" s="222">
        <f t="shared" si="1"/>
        <v>1.3202862602367738</v>
      </c>
      <c r="G23" s="222">
        <f t="shared" si="5"/>
        <v>2.0491942997424926</v>
      </c>
      <c r="H23" s="222">
        <f t="shared" si="2"/>
        <v>68.65488553231222</v>
      </c>
      <c r="I23" s="199"/>
      <c r="J23" s="222"/>
      <c r="K23" s="223"/>
    </row>
    <row r="24" spans="1:11" ht="12.75">
      <c r="A24" s="21">
        <f t="shared" si="0"/>
        <v>9</v>
      </c>
      <c r="B24" s="588"/>
      <c r="C24" s="217">
        <f t="shared" si="3"/>
        <v>9</v>
      </c>
      <c r="D24" s="222">
        <f t="shared" si="4"/>
        <v>68.65488553231222</v>
      </c>
      <c r="E24" s="222">
        <f>IF(C24&lt;=Parameters!$C$23,0,D24*$C$7/12)</f>
        <v>0.7151550576282523</v>
      </c>
      <c r="F24" s="222">
        <f t="shared" si="1"/>
        <v>1.3202862602367738</v>
      </c>
      <c r="G24" s="222">
        <f t="shared" si="5"/>
        <v>2.035441317865026</v>
      </c>
      <c r="H24" s="222">
        <f t="shared" si="2"/>
        <v>67.33459927207545</v>
      </c>
      <c r="I24" s="199"/>
      <c r="J24" s="222"/>
      <c r="K24" s="223"/>
    </row>
    <row r="25" spans="1:11" ht="12.75">
      <c r="A25" s="21">
        <f t="shared" si="0"/>
        <v>10</v>
      </c>
      <c r="B25" s="588"/>
      <c r="C25" s="217">
        <f t="shared" si="3"/>
        <v>10</v>
      </c>
      <c r="D25" s="222">
        <f t="shared" si="4"/>
        <v>67.33459927207545</v>
      </c>
      <c r="E25" s="222">
        <f>IF(C25&lt;=Parameters!$C$23,0,D25*$C$7/12)</f>
        <v>0.701402075750786</v>
      </c>
      <c r="F25" s="222">
        <f t="shared" si="1"/>
        <v>1.3202862602367738</v>
      </c>
      <c r="G25" s="222">
        <f t="shared" si="5"/>
        <v>2.0216883359875597</v>
      </c>
      <c r="H25" s="222">
        <f t="shared" si="2"/>
        <v>66.01431301183868</v>
      </c>
      <c r="I25" s="199"/>
      <c r="J25" s="222"/>
      <c r="K25" s="223"/>
    </row>
    <row r="26" spans="1:11" ht="12.75">
      <c r="A26" s="21">
        <f t="shared" si="0"/>
        <v>11</v>
      </c>
      <c r="B26" s="588"/>
      <c r="C26" s="217">
        <f t="shared" si="3"/>
        <v>11</v>
      </c>
      <c r="D26" s="222">
        <f t="shared" si="4"/>
        <v>66.01431301183868</v>
      </c>
      <c r="E26" s="222">
        <f>IF(C26&lt;=Parameters!$C$23,0,D26*$C$7/12)</f>
        <v>0.6876490938733196</v>
      </c>
      <c r="F26" s="222">
        <f t="shared" si="1"/>
        <v>1.3202862602367738</v>
      </c>
      <c r="G26" s="222">
        <f t="shared" si="5"/>
        <v>2.0079353541100935</v>
      </c>
      <c r="H26" s="222">
        <f t="shared" si="2"/>
        <v>64.69402675160191</v>
      </c>
      <c r="I26" s="199"/>
      <c r="J26" s="222"/>
      <c r="K26" s="223"/>
    </row>
    <row r="27" spans="1:11" ht="12.75">
      <c r="A27" s="21">
        <f t="shared" si="0"/>
        <v>12</v>
      </c>
      <c r="B27" s="589"/>
      <c r="C27" s="217">
        <f t="shared" si="3"/>
        <v>12</v>
      </c>
      <c r="D27" s="222">
        <f t="shared" si="4"/>
        <v>64.69402675160191</v>
      </c>
      <c r="E27" s="222">
        <f>IF(C27&lt;=Parameters!$C$23,0,D27*$C$7/12)</f>
        <v>0.6738961119958532</v>
      </c>
      <c r="F27" s="222">
        <f t="shared" si="1"/>
        <v>1.3202862602367738</v>
      </c>
      <c r="G27" s="222">
        <f t="shared" si="5"/>
        <v>1.9941823722326268</v>
      </c>
      <c r="H27" s="222">
        <f t="shared" si="2"/>
        <v>63.37374049136514</v>
      </c>
      <c r="I27" s="199"/>
      <c r="J27" s="222"/>
      <c r="K27" s="223"/>
    </row>
    <row r="28" spans="1:11" ht="12.75">
      <c r="A28" s="21">
        <f t="shared" si="0"/>
        <v>13</v>
      </c>
      <c r="B28" s="587">
        <f>Saving!E7</f>
        <v>2</v>
      </c>
      <c r="C28" s="217">
        <f t="shared" si="3"/>
        <v>13</v>
      </c>
      <c r="D28" s="222">
        <f t="shared" si="4"/>
        <v>63.37374049136514</v>
      </c>
      <c r="E28" s="222">
        <f>IF(C28&lt;=Parameters!$C$23,0,D28*$C$7/12)</f>
        <v>0.6601431301183869</v>
      </c>
      <c r="F28" s="222">
        <f t="shared" si="1"/>
        <v>1.3202862602367738</v>
      </c>
      <c r="G28" s="222">
        <f t="shared" si="5"/>
        <v>1.9804293903551606</v>
      </c>
      <c r="H28" s="222">
        <f t="shared" si="2"/>
        <v>62.05345423112836</v>
      </c>
      <c r="I28" s="199"/>
      <c r="J28" s="222">
        <f>SUM(E28:E39)</f>
        <v>7.0140207575078595</v>
      </c>
      <c r="K28" s="223">
        <f>IF(J28&lt;-1,0,(SUM(F28:F39)))</f>
        <v>15.843435122841285</v>
      </c>
    </row>
    <row r="29" spans="1:11" ht="12.75">
      <c r="A29" s="21">
        <f t="shared" si="0"/>
        <v>14</v>
      </c>
      <c r="B29" s="588"/>
      <c r="C29" s="217">
        <f t="shared" si="3"/>
        <v>14</v>
      </c>
      <c r="D29" s="222">
        <f t="shared" si="4"/>
        <v>62.05345423112836</v>
      </c>
      <c r="E29" s="222">
        <f>IF(C29&lt;=Parameters!$C$23,0,D29*$C$7/12)</f>
        <v>0.6463901482409204</v>
      </c>
      <c r="F29" s="222">
        <f t="shared" si="1"/>
        <v>1.3202862602367738</v>
      </c>
      <c r="G29" s="222">
        <f t="shared" si="5"/>
        <v>1.9666764084776942</v>
      </c>
      <c r="H29" s="222">
        <f t="shared" si="2"/>
        <v>60.733167970891586</v>
      </c>
      <c r="I29" s="199"/>
      <c r="J29" s="222"/>
      <c r="K29" s="223"/>
    </row>
    <row r="30" spans="1:11" ht="12.75">
      <c r="A30" s="21">
        <f t="shared" si="0"/>
        <v>15</v>
      </c>
      <c r="B30" s="588"/>
      <c r="C30" s="217">
        <f t="shared" si="3"/>
        <v>15</v>
      </c>
      <c r="D30" s="222">
        <f t="shared" si="4"/>
        <v>60.733167970891586</v>
      </c>
      <c r="E30" s="222">
        <f>IF(C30&lt;=Parameters!$C$23,0,D30*$C$7/12)</f>
        <v>0.632637166363454</v>
      </c>
      <c r="F30" s="222">
        <f t="shared" si="1"/>
        <v>1.3202862602367738</v>
      </c>
      <c r="G30" s="222">
        <f t="shared" si="5"/>
        <v>1.9529234266002278</v>
      </c>
      <c r="H30" s="222">
        <f t="shared" si="2"/>
        <v>59.41288171065481</v>
      </c>
      <c r="I30" s="199"/>
      <c r="J30" s="222"/>
      <c r="K30" s="223"/>
    </row>
    <row r="31" spans="1:11" ht="12.75">
      <c r="A31" s="21">
        <f t="shared" si="0"/>
        <v>16</v>
      </c>
      <c r="B31" s="588"/>
      <c r="C31" s="217">
        <f t="shared" si="3"/>
        <v>16</v>
      </c>
      <c r="D31" s="222">
        <f t="shared" si="4"/>
        <v>59.41288171065481</v>
      </c>
      <c r="E31" s="222">
        <f>IF(C31&lt;=Parameters!$C$23,0,D31*$C$7/12)</f>
        <v>0.6188841844859876</v>
      </c>
      <c r="F31" s="222">
        <f t="shared" si="1"/>
        <v>1.3202862602367738</v>
      </c>
      <c r="G31" s="222">
        <f t="shared" si="5"/>
        <v>1.9391704447227613</v>
      </c>
      <c r="H31" s="222">
        <f t="shared" si="2"/>
        <v>58.09259545041803</v>
      </c>
      <c r="I31" s="199"/>
      <c r="J31" s="222"/>
      <c r="K31" s="223"/>
    </row>
    <row r="32" spans="1:11" ht="12.75">
      <c r="A32" s="21">
        <f t="shared" si="0"/>
        <v>17</v>
      </c>
      <c r="B32" s="588"/>
      <c r="C32" s="217">
        <f t="shared" si="3"/>
        <v>17</v>
      </c>
      <c r="D32" s="222">
        <f t="shared" si="4"/>
        <v>58.09259545041803</v>
      </c>
      <c r="E32" s="222">
        <f>IF(C32&lt;=Parameters!$C$23,0,D32*$C$7/12)</f>
        <v>0.6051312026085212</v>
      </c>
      <c r="F32" s="222">
        <f t="shared" si="1"/>
        <v>1.3202862602367738</v>
      </c>
      <c r="G32" s="222">
        <f t="shared" si="5"/>
        <v>1.925417462845295</v>
      </c>
      <c r="H32" s="222">
        <f t="shared" si="2"/>
        <v>56.772309190181254</v>
      </c>
      <c r="I32" s="199"/>
      <c r="J32" s="222"/>
      <c r="K32" s="223"/>
    </row>
    <row r="33" spans="1:11" ht="12.75">
      <c r="A33" s="21">
        <f t="shared" si="0"/>
        <v>18</v>
      </c>
      <c r="B33" s="588"/>
      <c r="C33" s="217">
        <f t="shared" si="3"/>
        <v>18</v>
      </c>
      <c r="D33" s="222">
        <f t="shared" si="4"/>
        <v>56.772309190181254</v>
      </c>
      <c r="E33" s="222">
        <f>IF(C33&lt;=Parameters!$C$23,0,D33*$C$7/12)</f>
        <v>0.5913782207310547</v>
      </c>
      <c r="F33" s="222">
        <f t="shared" si="1"/>
        <v>1.3202862602367738</v>
      </c>
      <c r="G33" s="222">
        <f t="shared" si="5"/>
        <v>1.9116644809678285</v>
      </c>
      <c r="H33" s="222">
        <f t="shared" si="2"/>
        <v>55.45202292994448</v>
      </c>
      <c r="I33" s="199"/>
      <c r="J33" s="222"/>
      <c r="K33" s="223"/>
    </row>
    <row r="34" spans="1:11" ht="12.75">
      <c r="A34" s="21">
        <f t="shared" si="0"/>
        <v>19</v>
      </c>
      <c r="B34" s="588"/>
      <c r="C34" s="217">
        <f t="shared" si="3"/>
        <v>19</v>
      </c>
      <c r="D34" s="222">
        <f t="shared" si="4"/>
        <v>55.45202292994448</v>
      </c>
      <c r="E34" s="222">
        <f>IF(C34&lt;=Parameters!$C$23,0,D34*$C$7/12)</f>
        <v>0.5776252388535883</v>
      </c>
      <c r="F34" s="222">
        <f t="shared" si="1"/>
        <v>1.3202862602367738</v>
      </c>
      <c r="G34" s="222">
        <f t="shared" si="5"/>
        <v>1.897911499090362</v>
      </c>
      <c r="H34" s="222">
        <f t="shared" si="2"/>
        <v>54.1317366697077</v>
      </c>
      <c r="I34" s="199"/>
      <c r="J34" s="222"/>
      <c r="K34" s="223"/>
    </row>
    <row r="35" spans="1:11" ht="12.75">
      <c r="A35" s="21">
        <f t="shared" si="0"/>
        <v>20</v>
      </c>
      <c r="B35" s="588"/>
      <c r="C35" s="217">
        <f t="shared" si="3"/>
        <v>20</v>
      </c>
      <c r="D35" s="222">
        <f t="shared" si="4"/>
        <v>54.1317366697077</v>
      </c>
      <c r="E35" s="222">
        <f>IF(C35&lt;=Parameters!$C$23,0,D35*$C$7/12)</f>
        <v>0.5638722569761219</v>
      </c>
      <c r="F35" s="222">
        <f t="shared" si="1"/>
        <v>1.3202862602367738</v>
      </c>
      <c r="G35" s="222">
        <f t="shared" si="5"/>
        <v>1.8841585172128956</v>
      </c>
      <c r="H35" s="222">
        <f t="shared" si="2"/>
        <v>52.81145040947092</v>
      </c>
      <c r="I35" s="199"/>
      <c r="J35" s="222"/>
      <c r="K35" s="223"/>
    </row>
    <row r="36" spans="1:11" ht="12.75">
      <c r="A36" s="21">
        <f t="shared" si="0"/>
        <v>21</v>
      </c>
      <c r="B36" s="588"/>
      <c r="C36" s="217">
        <f t="shared" si="3"/>
        <v>21</v>
      </c>
      <c r="D36" s="222">
        <f t="shared" si="4"/>
        <v>52.81145040947092</v>
      </c>
      <c r="E36" s="222">
        <f>IF(C36&lt;=Parameters!$C$23,0,D36*$C$7/12)</f>
        <v>0.5501192750986554</v>
      </c>
      <c r="F36" s="222">
        <f t="shared" si="1"/>
        <v>1.3202862602367738</v>
      </c>
      <c r="G36" s="222">
        <f t="shared" si="5"/>
        <v>1.8704055353354292</v>
      </c>
      <c r="H36" s="222">
        <f t="shared" si="2"/>
        <v>51.491164149234145</v>
      </c>
      <c r="I36" s="199"/>
      <c r="J36" s="222"/>
      <c r="K36" s="223"/>
    </row>
    <row r="37" spans="1:11" ht="12.75">
      <c r="A37" s="21">
        <f t="shared" si="0"/>
        <v>22</v>
      </c>
      <c r="B37" s="588"/>
      <c r="C37" s="217">
        <f t="shared" si="3"/>
        <v>22</v>
      </c>
      <c r="D37" s="222">
        <f t="shared" si="4"/>
        <v>51.491164149234145</v>
      </c>
      <c r="E37" s="222">
        <f>IF(C37&lt;=Parameters!$C$23,0,D37*$C$7/12)</f>
        <v>0.536366293221189</v>
      </c>
      <c r="F37" s="222">
        <f t="shared" si="1"/>
        <v>1.3202862602367738</v>
      </c>
      <c r="G37" s="222">
        <f t="shared" si="5"/>
        <v>1.8566525534579628</v>
      </c>
      <c r="H37" s="222">
        <f t="shared" si="2"/>
        <v>50.170877888997374</v>
      </c>
      <c r="I37" s="199"/>
      <c r="J37" s="222"/>
      <c r="K37" s="223"/>
    </row>
    <row r="38" spans="1:11" ht="12.75">
      <c r="A38" s="21">
        <f t="shared" si="0"/>
        <v>23</v>
      </c>
      <c r="B38" s="588"/>
      <c r="C38" s="217">
        <f t="shared" si="3"/>
        <v>23</v>
      </c>
      <c r="D38" s="222">
        <f t="shared" si="4"/>
        <v>50.170877888997374</v>
      </c>
      <c r="E38" s="222">
        <f>IF(C38&lt;=Parameters!$C$23,0,D38*$C$7/12)</f>
        <v>0.5226133113437227</v>
      </c>
      <c r="F38" s="222">
        <f t="shared" si="1"/>
        <v>1.3202862602367738</v>
      </c>
      <c r="G38" s="222">
        <f t="shared" si="5"/>
        <v>1.8428995715804963</v>
      </c>
      <c r="H38" s="222">
        <f t="shared" si="2"/>
        <v>48.850591628760604</v>
      </c>
      <c r="I38" s="199"/>
      <c r="J38" s="222"/>
      <c r="K38" s="223"/>
    </row>
    <row r="39" spans="1:11" ht="12.75">
      <c r="A39" s="21">
        <f t="shared" si="0"/>
        <v>24</v>
      </c>
      <c r="B39" s="589"/>
      <c r="C39" s="217">
        <f t="shared" si="3"/>
        <v>24</v>
      </c>
      <c r="D39" s="222">
        <f t="shared" si="4"/>
        <v>48.850591628760604</v>
      </c>
      <c r="E39" s="222">
        <f>IF(C39&lt;=Parameters!$C$23,0,D39*$C$7/12)</f>
        <v>0.5088603294662563</v>
      </c>
      <c r="F39" s="222">
        <f t="shared" si="1"/>
        <v>1.3202862602367738</v>
      </c>
      <c r="G39" s="222">
        <f t="shared" si="5"/>
        <v>1.8291465897030301</v>
      </c>
      <c r="H39" s="222">
        <f t="shared" si="2"/>
        <v>47.530305368523834</v>
      </c>
      <c r="I39" s="199"/>
      <c r="J39" s="222"/>
      <c r="K39" s="223"/>
    </row>
    <row r="40" spans="1:11" ht="12.75">
      <c r="A40" s="21">
        <f t="shared" si="0"/>
        <v>25</v>
      </c>
      <c r="B40" s="587">
        <f>Saving!F7</f>
        <v>3</v>
      </c>
      <c r="C40" s="217">
        <f t="shared" si="3"/>
        <v>25</v>
      </c>
      <c r="D40" s="222">
        <f t="shared" si="4"/>
        <v>47.530305368523834</v>
      </c>
      <c r="E40" s="222">
        <f>IF(C40&lt;=Parameters!$C$23,0,D40*$C$7/12)</f>
        <v>0.49510734758878994</v>
      </c>
      <c r="F40" s="222">
        <f t="shared" si="1"/>
        <v>1.3202862602367738</v>
      </c>
      <c r="G40" s="222">
        <f t="shared" si="5"/>
        <v>1.8153936078255637</v>
      </c>
      <c r="H40" s="222">
        <f t="shared" si="2"/>
        <v>46.210019108287064</v>
      </c>
      <c r="I40" s="199"/>
      <c r="J40" s="222">
        <f>SUM(E40:E51)</f>
        <v>5.0335913671527</v>
      </c>
      <c r="K40" s="223">
        <f>IF(J40&lt;-1,0,(SUM(F40:F51)))</f>
        <v>15.843435122841285</v>
      </c>
    </row>
    <row r="41" spans="1:11" ht="12.75">
      <c r="A41" s="21">
        <f t="shared" si="0"/>
        <v>26</v>
      </c>
      <c r="B41" s="588"/>
      <c r="C41" s="217">
        <f t="shared" si="3"/>
        <v>26</v>
      </c>
      <c r="D41" s="222">
        <f t="shared" si="4"/>
        <v>46.210019108287064</v>
      </c>
      <c r="E41" s="222">
        <f>IF(C41&lt;=Parameters!$C$23,0,D41*$C$7/12)</f>
        <v>0.48135436571132356</v>
      </c>
      <c r="F41" s="222">
        <f t="shared" si="1"/>
        <v>1.3202862602367738</v>
      </c>
      <c r="G41" s="222">
        <f t="shared" si="5"/>
        <v>1.8016406259480973</v>
      </c>
      <c r="H41" s="222">
        <f t="shared" si="2"/>
        <v>44.88973284805029</v>
      </c>
      <c r="I41" s="199"/>
      <c r="J41" s="222"/>
      <c r="K41" s="223"/>
    </row>
    <row r="42" spans="1:11" ht="12.75">
      <c r="A42" s="21">
        <f t="shared" si="0"/>
        <v>27</v>
      </c>
      <c r="B42" s="588"/>
      <c r="C42" s="217">
        <f t="shared" si="3"/>
        <v>27</v>
      </c>
      <c r="D42" s="222">
        <f t="shared" si="4"/>
        <v>44.88973284805029</v>
      </c>
      <c r="E42" s="222">
        <f>IF(C42&lt;=Parameters!$C$23,0,D42*$C$7/12)</f>
        <v>0.46760138383385724</v>
      </c>
      <c r="F42" s="222">
        <f t="shared" si="1"/>
        <v>1.3202862602367738</v>
      </c>
      <c r="G42" s="222">
        <f t="shared" si="5"/>
        <v>1.787887644070631</v>
      </c>
      <c r="H42" s="222">
        <f t="shared" si="2"/>
        <v>43.56944658781352</v>
      </c>
      <c r="I42" s="199"/>
      <c r="J42" s="222"/>
      <c r="K42" s="223"/>
    </row>
    <row r="43" spans="1:11" ht="12.75">
      <c r="A43" s="21">
        <f t="shared" si="0"/>
        <v>28</v>
      </c>
      <c r="B43" s="588"/>
      <c r="C43" s="217">
        <f t="shared" si="3"/>
        <v>28</v>
      </c>
      <c r="D43" s="222">
        <f t="shared" si="4"/>
        <v>43.56944658781352</v>
      </c>
      <c r="E43" s="222">
        <f>IF(C43&lt;=Parameters!$C$23,0,D43*$C$7/12)</f>
        <v>0.45384840195639087</v>
      </c>
      <c r="F43" s="222">
        <f t="shared" si="1"/>
        <v>1.3202862602367738</v>
      </c>
      <c r="G43" s="222">
        <f t="shared" si="5"/>
        <v>1.7741346621931646</v>
      </c>
      <c r="H43" s="222">
        <f t="shared" si="2"/>
        <v>42.24916032757675</v>
      </c>
      <c r="I43" s="199"/>
      <c r="J43" s="222"/>
      <c r="K43" s="223"/>
    </row>
    <row r="44" spans="1:11" ht="12.75">
      <c r="A44" s="21">
        <f t="shared" si="0"/>
        <v>29</v>
      </c>
      <c r="B44" s="588"/>
      <c r="C44" s="217">
        <f t="shared" si="3"/>
        <v>29</v>
      </c>
      <c r="D44" s="222">
        <f t="shared" si="4"/>
        <v>42.24916032757675</v>
      </c>
      <c r="E44" s="222">
        <f>IF(C44&lt;=Parameters!$C$23,0,D44*$C$7/12)</f>
        <v>0.4400954200789245</v>
      </c>
      <c r="F44" s="222">
        <f t="shared" si="1"/>
        <v>1.3202862602367738</v>
      </c>
      <c r="G44" s="222">
        <f t="shared" si="5"/>
        <v>1.7603816803156982</v>
      </c>
      <c r="H44" s="222">
        <f t="shared" si="2"/>
        <v>40.92887406733998</v>
      </c>
      <c r="I44" s="199"/>
      <c r="J44" s="222"/>
      <c r="K44" s="223"/>
    </row>
    <row r="45" spans="1:11" ht="12.75">
      <c r="A45" s="21">
        <f t="shared" si="0"/>
        <v>30</v>
      </c>
      <c r="B45" s="588"/>
      <c r="C45" s="217">
        <f t="shared" si="3"/>
        <v>30</v>
      </c>
      <c r="D45" s="222">
        <f t="shared" si="4"/>
        <v>40.92887406733998</v>
      </c>
      <c r="E45" s="222">
        <f>IF(C45&lt;=Parameters!$C$23,0,D45*$C$7/12)</f>
        <v>0.4263424382014582</v>
      </c>
      <c r="F45" s="222">
        <f t="shared" si="1"/>
        <v>1.3202862602367738</v>
      </c>
      <c r="G45" s="222">
        <f t="shared" si="5"/>
        <v>1.746628698438232</v>
      </c>
      <c r="H45" s="222">
        <f t="shared" si="2"/>
        <v>39.60858780710321</v>
      </c>
      <c r="I45" s="199"/>
      <c r="J45" s="222"/>
      <c r="K45" s="223"/>
    </row>
    <row r="46" spans="1:11" ht="12.75">
      <c r="A46" s="21">
        <f t="shared" si="0"/>
        <v>31</v>
      </c>
      <c r="B46" s="588"/>
      <c r="C46" s="217">
        <f t="shared" si="3"/>
        <v>31</v>
      </c>
      <c r="D46" s="222">
        <f t="shared" si="4"/>
        <v>39.60858780710321</v>
      </c>
      <c r="E46" s="222">
        <f>IF(C46&lt;=Parameters!$C$23,0,D46*$C$7/12)</f>
        <v>0.4125894563239918</v>
      </c>
      <c r="F46" s="222">
        <f t="shared" si="1"/>
        <v>1.3202862602367738</v>
      </c>
      <c r="G46" s="222">
        <f t="shared" si="5"/>
        <v>1.7328757165607656</v>
      </c>
      <c r="H46" s="222">
        <f t="shared" si="2"/>
        <v>38.28830154686644</v>
      </c>
      <c r="I46" s="199"/>
      <c r="J46" s="222"/>
      <c r="K46" s="223"/>
    </row>
    <row r="47" spans="1:11" ht="12.75">
      <c r="A47" s="21">
        <f t="shared" si="0"/>
        <v>32</v>
      </c>
      <c r="B47" s="588"/>
      <c r="C47" s="217">
        <f t="shared" si="3"/>
        <v>32</v>
      </c>
      <c r="D47" s="222">
        <f t="shared" si="4"/>
        <v>38.28830154686644</v>
      </c>
      <c r="E47" s="222">
        <f>IF(C47&lt;=Parameters!$C$23,0,D47*$C$7/12)</f>
        <v>0.3988364744465254</v>
      </c>
      <c r="F47" s="222">
        <f t="shared" si="1"/>
        <v>1.3202862602367738</v>
      </c>
      <c r="G47" s="222">
        <f t="shared" si="5"/>
        <v>1.7191227346832991</v>
      </c>
      <c r="H47" s="222">
        <f t="shared" si="2"/>
        <v>36.96801528662967</v>
      </c>
      <c r="I47" s="199"/>
      <c r="J47" s="222"/>
      <c r="K47" s="223"/>
    </row>
    <row r="48" spans="1:11" ht="12.75">
      <c r="A48" s="21">
        <f t="shared" si="0"/>
        <v>33</v>
      </c>
      <c r="B48" s="588"/>
      <c r="C48" s="217">
        <f t="shared" si="3"/>
        <v>33</v>
      </c>
      <c r="D48" s="222">
        <f t="shared" si="4"/>
        <v>36.96801528662967</v>
      </c>
      <c r="E48" s="222">
        <f>IF(C48&lt;=Parameters!$C$23,0,D48*$C$7/12)</f>
        <v>0.3850834925690591</v>
      </c>
      <c r="F48" s="222">
        <f t="shared" si="1"/>
        <v>1.3202862602367738</v>
      </c>
      <c r="G48" s="222">
        <f t="shared" si="5"/>
        <v>1.705369752805833</v>
      </c>
      <c r="H48" s="222">
        <f t="shared" si="2"/>
        <v>35.647729026392895</v>
      </c>
      <c r="I48" s="199"/>
      <c r="J48" s="222" t="s">
        <v>441</v>
      </c>
      <c r="K48" s="223"/>
    </row>
    <row r="49" spans="1:11" ht="12.75">
      <c r="A49" s="21">
        <f aca="true" t="shared" si="6" ref="A49:A80">IF(A48&lt;=($C$9*4),(A48+1),"")</f>
        <v>34</v>
      </c>
      <c r="B49" s="588"/>
      <c r="C49" s="217">
        <f t="shared" si="3"/>
        <v>34</v>
      </c>
      <c r="D49" s="222">
        <f t="shared" si="4"/>
        <v>35.647729026392895</v>
      </c>
      <c r="E49" s="222">
        <f>IF(C49&lt;=Parameters!$C$23,0,D49*$C$7/12)</f>
        <v>0.3713305106915927</v>
      </c>
      <c r="F49" s="222">
        <f t="shared" si="1"/>
        <v>1.3202862602367738</v>
      </c>
      <c r="G49" s="222">
        <f t="shared" si="5"/>
        <v>1.6916167709283665</v>
      </c>
      <c r="H49" s="222">
        <f t="shared" si="2"/>
        <v>34.32744276615612</v>
      </c>
      <c r="I49" s="199"/>
      <c r="J49" s="222"/>
      <c r="K49" s="223"/>
    </row>
    <row r="50" spans="1:11" ht="12.75">
      <c r="A50" s="21">
        <f t="shared" si="6"/>
        <v>35</v>
      </c>
      <c r="B50" s="588"/>
      <c r="C50" s="217">
        <f t="shared" si="3"/>
        <v>35</v>
      </c>
      <c r="D50" s="222">
        <f t="shared" si="4"/>
        <v>34.32744276615612</v>
      </c>
      <c r="E50" s="222">
        <f>IF(C50&lt;=Parameters!$C$23,0,D50*$C$7/12)</f>
        <v>0.35757752881412624</v>
      </c>
      <c r="F50" s="222">
        <f t="shared" si="1"/>
        <v>1.3202862602367738</v>
      </c>
      <c r="G50" s="222">
        <f t="shared" si="5"/>
        <v>1.6778637890509</v>
      </c>
      <c r="H50" s="222">
        <f t="shared" si="2"/>
        <v>33.00715650591934</v>
      </c>
      <c r="I50" s="199"/>
      <c r="J50" s="222"/>
      <c r="K50" s="223"/>
    </row>
    <row r="51" spans="1:11" ht="12.75">
      <c r="A51" s="21">
        <f t="shared" si="6"/>
        <v>36</v>
      </c>
      <c r="B51" s="589"/>
      <c r="C51" s="217">
        <f t="shared" si="3"/>
        <v>36</v>
      </c>
      <c r="D51" s="222">
        <f t="shared" si="4"/>
        <v>33.00715650591934</v>
      </c>
      <c r="E51" s="222">
        <f>IF(C51&lt;=Parameters!$C$23,0,D51*$C$7/12)</f>
        <v>0.3438245469366598</v>
      </c>
      <c r="F51" s="222">
        <f t="shared" si="1"/>
        <v>1.3202862602367738</v>
      </c>
      <c r="G51" s="222">
        <f t="shared" si="5"/>
        <v>1.6641108071734336</v>
      </c>
      <c r="H51" s="222">
        <f t="shared" si="2"/>
        <v>31.686870245682567</v>
      </c>
      <c r="I51" s="199"/>
      <c r="J51" s="222"/>
      <c r="K51" s="223"/>
    </row>
    <row r="52" spans="1:11" ht="12.75">
      <c r="A52" s="21">
        <f t="shared" si="6"/>
        <v>37</v>
      </c>
      <c r="B52" s="587">
        <f>Saving!G7</f>
        <v>4</v>
      </c>
      <c r="C52" s="217">
        <f t="shared" si="3"/>
        <v>37</v>
      </c>
      <c r="D52" s="222">
        <f t="shared" si="4"/>
        <v>31.686870245682567</v>
      </c>
      <c r="E52" s="222">
        <f>IF(C52&lt;=Parameters!$C$23,0,D52*$C$7/12)</f>
        <v>0.3300715650591934</v>
      </c>
      <c r="F52" s="222">
        <f t="shared" si="1"/>
        <v>1.3202862602367738</v>
      </c>
      <c r="G52" s="222">
        <f t="shared" si="5"/>
        <v>1.6503578252959672</v>
      </c>
      <c r="H52" s="222">
        <f t="shared" si="2"/>
        <v>30.366583985445796</v>
      </c>
      <c r="I52" s="199"/>
      <c r="J52" s="222">
        <f>SUM(E52:E63)</f>
        <v>3.053161976797539</v>
      </c>
      <c r="K52" s="223">
        <f>IF(J52&lt;-1,0,(SUM(F52:F63)))</f>
        <v>15.843435122841285</v>
      </c>
    </row>
    <row r="53" spans="1:11" ht="12.75">
      <c r="A53" s="21">
        <f t="shared" si="6"/>
        <v>38</v>
      </c>
      <c r="B53" s="588"/>
      <c r="C53" s="217">
        <f t="shared" si="3"/>
        <v>38</v>
      </c>
      <c r="D53" s="222">
        <f t="shared" si="4"/>
        <v>30.366583985445796</v>
      </c>
      <c r="E53" s="222">
        <f>IF(C53&lt;=Parameters!$C$23,0,D53*$C$7/12)</f>
        <v>0.31631858318172706</v>
      </c>
      <c r="F53" s="222">
        <f t="shared" si="1"/>
        <v>1.3202862602367738</v>
      </c>
      <c r="G53" s="222">
        <f t="shared" si="5"/>
        <v>1.6366048434185008</v>
      </c>
      <c r="H53" s="222">
        <f t="shared" si="2"/>
        <v>29.046297725209023</v>
      </c>
      <c r="I53" s="199"/>
      <c r="J53" s="222"/>
      <c r="K53" s="223"/>
    </row>
    <row r="54" spans="1:11" ht="12.75">
      <c r="A54" s="21">
        <f t="shared" si="6"/>
        <v>39</v>
      </c>
      <c r="B54" s="588"/>
      <c r="C54" s="217">
        <f t="shared" si="3"/>
        <v>39</v>
      </c>
      <c r="D54" s="222">
        <f t="shared" si="4"/>
        <v>29.046297725209023</v>
      </c>
      <c r="E54" s="222">
        <f>IF(C54&lt;=Parameters!$C$23,0,D54*$C$7/12)</f>
        <v>0.30256560130426063</v>
      </c>
      <c r="F54" s="222">
        <f t="shared" si="1"/>
        <v>1.3202862602367738</v>
      </c>
      <c r="G54" s="222">
        <f t="shared" si="5"/>
        <v>1.6228518615410343</v>
      </c>
      <c r="H54" s="222">
        <f t="shared" si="2"/>
        <v>27.72601146497225</v>
      </c>
      <c r="I54" s="199"/>
      <c r="J54" s="222"/>
      <c r="K54" s="223"/>
    </row>
    <row r="55" spans="1:11" ht="12.75">
      <c r="A55" s="21">
        <f t="shared" si="6"/>
        <v>40</v>
      </c>
      <c r="B55" s="588"/>
      <c r="C55" s="217">
        <f t="shared" si="3"/>
        <v>40</v>
      </c>
      <c r="D55" s="222">
        <f t="shared" si="4"/>
        <v>27.72601146497225</v>
      </c>
      <c r="E55" s="222">
        <f>IF(C55&lt;=Parameters!$C$23,0,D55*$C$7/12)</f>
        <v>0.28881261942679426</v>
      </c>
      <c r="F55" s="222">
        <f t="shared" si="1"/>
        <v>1.3202862602367738</v>
      </c>
      <c r="G55" s="222">
        <f t="shared" si="5"/>
        <v>1.6090988796635681</v>
      </c>
      <c r="H55" s="222">
        <f t="shared" si="2"/>
        <v>26.405725204735475</v>
      </c>
      <c r="I55" s="199"/>
      <c r="J55" s="222"/>
      <c r="K55" s="223"/>
    </row>
    <row r="56" spans="1:11" ht="12.75">
      <c r="A56" s="21">
        <f t="shared" si="6"/>
        <v>41</v>
      </c>
      <c r="B56" s="588"/>
      <c r="C56" s="217">
        <f t="shared" si="3"/>
        <v>41</v>
      </c>
      <c r="D56" s="222">
        <f t="shared" si="4"/>
        <v>26.405725204735475</v>
      </c>
      <c r="E56" s="222">
        <f>IF(C56&lt;=Parameters!$C$23,0,D56*$C$7/12)</f>
        <v>0.2750596375493279</v>
      </c>
      <c r="F56" s="222">
        <f t="shared" si="1"/>
        <v>1.3202862602367738</v>
      </c>
      <c r="G56" s="222">
        <f t="shared" si="5"/>
        <v>1.5953458977861017</v>
      </c>
      <c r="H56" s="222">
        <f t="shared" si="2"/>
        <v>25.0854389444987</v>
      </c>
      <c r="I56" s="199"/>
      <c r="J56" s="222"/>
      <c r="K56" s="223"/>
    </row>
    <row r="57" spans="1:11" ht="12.75">
      <c r="A57" s="21">
        <f t="shared" si="6"/>
        <v>42</v>
      </c>
      <c r="B57" s="588"/>
      <c r="C57" s="217">
        <f t="shared" si="3"/>
        <v>42</v>
      </c>
      <c r="D57" s="222">
        <f t="shared" si="4"/>
        <v>25.0854389444987</v>
      </c>
      <c r="E57" s="222">
        <f>IF(C57&lt;=Parameters!$C$23,0,D57*$C$7/12)</f>
        <v>0.26130665567186145</v>
      </c>
      <c r="F57" s="222">
        <f t="shared" si="1"/>
        <v>1.3202862602367738</v>
      </c>
      <c r="G57" s="222">
        <f t="shared" si="5"/>
        <v>1.5815929159086353</v>
      </c>
      <c r="H57" s="222">
        <f t="shared" si="2"/>
        <v>23.765152684261928</v>
      </c>
      <c r="I57" s="199"/>
      <c r="J57" s="222"/>
      <c r="K57" s="223"/>
    </row>
    <row r="58" spans="1:11" ht="12.75">
      <c r="A58" s="21">
        <f t="shared" si="6"/>
        <v>43</v>
      </c>
      <c r="B58" s="588"/>
      <c r="C58" s="217">
        <f t="shared" si="3"/>
        <v>43</v>
      </c>
      <c r="D58" s="222">
        <f t="shared" si="4"/>
        <v>23.765152684261928</v>
      </c>
      <c r="E58" s="222">
        <f>IF(C58&lt;=Parameters!$C$23,0,D58*$C$7/12)</f>
        <v>0.24755367379439508</v>
      </c>
      <c r="F58" s="222">
        <f t="shared" si="1"/>
        <v>1.3202862602367738</v>
      </c>
      <c r="G58" s="222">
        <f t="shared" si="5"/>
        <v>1.5678399340311688</v>
      </c>
      <c r="H58" s="222">
        <f t="shared" si="2"/>
        <v>22.444866424025154</v>
      </c>
      <c r="I58" s="199"/>
      <c r="J58" s="222"/>
      <c r="K58" s="223"/>
    </row>
    <row r="59" spans="1:11" ht="12.75">
      <c r="A59" s="21">
        <f t="shared" si="6"/>
        <v>44</v>
      </c>
      <c r="B59" s="588"/>
      <c r="C59" s="217">
        <f t="shared" si="3"/>
        <v>44</v>
      </c>
      <c r="D59" s="222">
        <f t="shared" si="4"/>
        <v>22.444866424025154</v>
      </c>
      <c r="E59" s="222">
        <f>IF(C59&lt;=Parameters!$C$23,0,D59*$C$7/12)</f>
        <v>0.23380069191692868</v>
      </c>
      <c r="F59" s="222">
        <f t="shared" si="1"/>
        <v>1.3202862602367738</v>
      </c>
      <c r="G59" s="222">
        <f t="shared" si="5"/>
        <v>1.5540869521537024</v>
      </c>
      <c r="H59" s="222">
        <f t="shared" si="2"/>
        <v>21.12458016378838</v>
      </c>
      <c r="I59" s="199"/>
      <c r="J59" s="222"/>
      <c r="K59" s="223"/>
    </row>
    <row r="60" spans="1:11" ht="12.75">
      <c r="A60" s="21">
        <f t="shared" si="6"/>
        <v>45</v>
      </c>
      <c r="B60" s="588"/>
      <c r="C60" s="217">
        <f t="shared" si="3"/>
        <v>45</v>
      </c>
      <c r="D60" s="222">
        <f t="shared" si="4"/>
        <v>21.12458016378838</v>
      </c>
      <c r="E60" s="222">
        <f>IF(C60&lt;=Parameters!$C$23,0,D60*$C$7/12)</f>
        <v>0.2200477100394623</v>
      </c>
      <c r="F60" s="222">
        <f t="shared" si="1"/>
        <v>1.3202862602367738</v>
      </c>
      <c r="G60" s="222">
        <f t="shared" si="5"/>
        <v>1.540333970276236</v>
      </c>
      <c r="H60" s="222">
        <f t="shared" si="2"/>
        <v>19.804293903551606</v>
      </c>
      <c r="I60" s="199"/>
      <c r="J60" s="222"/>
      <c r="K60" s="223"/>
    </row>
    <row r="61" spans="1:11" ht="12.75">
      <c r="A61" s="21">
        <f t="shared" si="6"/>
        <v>46</v>
      </c>
      <c r="B61" s="588"/>
      <c r="C61" s="217">
        <f t="shared" si="3"/>
        <v>46</v>
      </c>
      <c r="D61" s="222">
        <f t="shared" si="4"/>
        <v>19.804293903551606</v>
      </c>
      <c r="E61" s="222">
        <f>IF(C61&lt;=Parameters!$C$23,0,D61*$C$7/12)</f>
        <v>0.2062947281619959</v>
      </c>
      <c r="F61" s="222">
        <f t="shared" si="1"/>
        <v>1.3202862602367738</v>
      </c>
      <c r="G61" s="222">
        <f t="shared" si="5"/>
        <v>1.5265809883987695</v>
      </c>
      <c r="H61" s="222">
        <f t="shared" si="2"/>
        <v>18.484007643314833</v>
      </c>
      <c r="I61" s="199"/>
      <c r="J61" s="222"/>
      <c r="K61" s="223"/>
    </row>
    <row r="62" spans="1:11" ht="12.75">
      <c r="A62" s="21">
        <f t="shared" si="6"/>
        <v>47</v>
      </c>
      <c r="B62" s="588"/>
      <c r="C62" s="217">
        <f t="shared" si="3"/>
        <v>47</v>
      </c>
      <c r="D62" s="222">
        <f t="shared" si="4"/>
        <v>18.484007643314833</v>
      </c>
      <c r="E62" s="222">
        <f>IF(C62&lt;=Parameters!$C$23,0,D62*$C$7/12)</f>
        <v>0.1925417462845295</v>
      </c>
      <c r="F62" s="222">
        <f t="shared" si="1"/>
        <v>1.3202862602367738</v>
      </c>
      <c r="G62" s="222">
        <f t="shared" si="5"/>
        <v>1.5128280065213033</v>
      </c>
      <c r="H62" s="222">
        <f t="shared" si="2"/>
        <v>17.16372138307806</v>
      </c>
      <c r="I62" s="199"/>
      <c r="J62" s="222"/>
      <c r="K62" s="223"/>
    </row>
    <row r="63" spans="1:11" ht="12.75">
      <c r="A63" s="21">
        <f t="shared" si="6"/>
        <v>48</v>
      </c>
      <c r="B63" s="589"/>
      <c r="C63" s="217">
        <f t="shared" si="3"/>
        <v>48</v>
      </c>
      <c r="D63" s="222">
        <f t="shared" si="4"/>
        <v>17.16372138307806</v>
      </c>
      <c r="E63" s="222">
        <f>IF(C63&lt;=Parameters!$C$23,0,D63*$C$7/12)</f>
        <v>0.17878876440706312</v>
      </c>
      <c r="F63" s="222">
        <f t="shared" si="1"/>
        <v>1.3202862602367738</v>
      </c>
      <c r="G63" s="222">
        <f t="shared" si="5"/>
        <v>1.499075024643837</v>
      </c>
      <c r="H63" s="222">
        <f t="shared" si="2"/>
        <v>15.843435122841285</v>
      </c>
      <c r="I63" s="199"/>
      <c r="J63" s="222"/>
      <c r="K63" s="223"/>
    </row>
    <row r="64" spans="1:11" ht="12.75">
      <c r="A64" s="21">
        <f t="shared" si="6"/>
        <v>49</v>
      </c>
      <c r="B64" s="587">
        <f>Saving!H7</f>
        <v>5</v>
      </c>
      <c r="C64" s="217">
        <f t="shared" si="3"/>
        <v>49</v>
      </c>
      <c r="D64" s="222">
        <f t="shared" si="4"/>
        <v>15.843435122841285</v>
      </c>
      <c r="E64" s="222">
        <f>IF(C64&lt;=Parameters!$C$23,0,D64*$C$7/12)</f>
        <v>0.16503578252959672</v>
      </c>
      <c r="F64" s="222">
        <f t="shared" si="1"/>
        <v>1.3202862602367738</v>
      </c>
      <c r="G64" s="222">
        <f t="shared" si="5"/>
        <v>1.4853220427663705</v>
      </c>
      <c r="H64" s="222">
        <f t="shared" si="2"/>
        <v>14.523148862604511</v>
      </c>
      <c r="I64" s="199"/>
      <c r="J64" s="222">
        <f>SUM(E64:E75)</f>
        <v>1.0727325864423787</v>
      </c>
      <c r="K64" s="223">
        <f>IF(J64&lt;-1,0,(SUM(F64:F75)))</f>
        <v>15.843435122841285</v>
      </c>
    </row>
    <row r="65" spans="1:11" ht="12.75">
      <c r="A65" s="21">
        <f t="shared" si="6"/>
        <v>50</v>
      </c>
      <c r="B65" s="588"/>
      <c r="C65" s="217">
        <f t="shared" si="3"/>
        <v>50</v>
      </c>
      <c r="D65" s="222">
        <f t="shared" si="4"/>
        <v>14.523148862604511</v>
      </c>
      <c r="E65" s="222">
        <f>IF(C65&lt;=Parameters!$C$23,0,D65*$C$7/12)</f>
        <v>0.15128280065213032</v>
      </c>
      <c r="F65" s="222">
        <f t="shared" si="1"/>
        <v>1.3202862602367738</v>
      </c>
      <c r="G65" s="222">
        <f t="shared" si="5"/>
        <v>1.471569060888904</v>
      </c>
      <c r="H65" s="222">
        <f t="shared" si="2"/>
        <v>13.202862602367738</v>
      </c>
      <c r="I65" s="199"/>
      <c r="J65" s="222"/>
      <c r="K65" s="223"/>
    </row>
    <row r="66" spans="1:11" ht="12.75">
      <c r="A66" s="21">
        <f t="shared" si="6"/>
        <v>51</v>
      </c>
      <c r="B66" s="588"/>
      <c r="C66" s="217">
        <f t="shared" si="3"/>
        <v>51</v>
      </c>
      <c r="D66" s="222">
        <f t="shared" si="4"/>
        <v>13.202862602367738</v>
      </c>
      <c r="E66" s="222">
        <f>IF(C66&lt;=Parameters!$C$23,0,D66*$C$7/12)</f>
        <v>0.13752981877466394</v>
      </c>
      <c r="F66" s="222">
        <f t="shared" si="1"/>
        <v>1.3202862602367738</v>
      </c>
      <c r="G66" s="222">
        <f t="shared" si="5"/>
        <v>1.4578160790114376</v>
      </c>
      <c r="H66" s="222">
        <f t="shared" si="2"/>
        <v>11.882576342130964</v>
      </c>
      <c r="I66" s="199"/>
      <c r="J66" s="222"/>
      <c r="K66" s="223"/>
    </row>
    <row r="67" spans="1:11" ht="12.75">
      <c r="A67" s="21">
        <f t="shared" si="6"/>
        <v>52</v>
      </c>
      <c r="B67" s="588"/>
      <c r="C67" s="217">
        <f t="shared" si="3"/>
        <v>52</v>
      </c>
      <c r="D67" s="222">
        <f t="shared" si="4"/>
        <v>11.882576342130964</v>
      </c>
      <c r="E67" s="222">
        <f>IF(C67&lt;=Parameters!$C$23,0,D67*$C$7/12)</f>
        <v>0.12377683689719754</v>
      </c>
      <c r="F67" s="222">
        <f t="shared" si="1"/>
        <v>1.3202862602367738</v>
      </c>
      <c r="G67" s="222">
        <f t="shared" si="5"/>
        <v>1.4440630971339714</v>
      </c>
      <c r="H67" s="222">
        <f t="shared" si="2"/>
        <v>10.56229008189419</v>
      </c>
      <c r="I67" s="199"/>
      <c r="J67" s="222"/>
      <c r="K67" s="223"/>
    </row>
    <row r="68" spans="1:11" ht="12.75">
      <c r="A68" s="21">
        <f t="shared" si="6"/>
        <v>53</v>
      </c>
      <c r="B68" s="588"/>
      <c r="C68" s="217">
        <f t="shared" si="3"/>
        <v>53</v>
      </c>
      <c r="D68" s="222">
        <f t="shared" si="4"/>
        <v>10.56229008189419</v>
      </c>
      <c r="E68" s="222">
        <f>IF(C68&lt;=Parameters!$C$23,0,D68*$C$7/12)</f>
        <v>0.11002385501973115</v>
      </c>
      <c r="F68" s="222">
        <f t="shared" si="1"/>
        <v>1.3202862602367738</v>
      </c>
      <c r="G68" s="222">
        <f t="shared" si="5"/>
        <v>1.430310115256505</v>
      </c>
      <c r="H68" s="222">
        <f t="shared" si="2"/>
        <v>9.242003821657416</v>
      </c>
      <c r="I68" s="199"/>
      <c r="J68" s="222"/>
      <c r="K68" s="223"/>
    </row>
    <row r="69" spans="1:11" ht="12.75">
      <c r="A69" s="21">
        <f t="shared" si="6"/>
        <v>54</v>
      </c>
      <c r="B69" s="588"/>
      <c r="C69" s="217">
        <f t="shared" si="3"/>
        <v>54</v>
      </c>
      <c r="D69" s="222">
        <f t="shared" si="4"/>
        <v>9.242003821657416</v>
      </c>
      <c r="E69" s="222">
        <f>IF(C69&lt;=Parameters!$C$23,0,D69*$C$7/12)</f>
        <v>0.09627087314226475</v>
      </c>
      <c r="F69" s="222">
        <f t="shared" si="1"/>
        <v>1.3202862602367738</v>
      </c>
      <c r="G69" s="222">
        <f t="shared" si="5"/>
        <v>1.4165571333790385</v>
      </c>
      <c r="H69" s="222">
        <f t="shared" si="2"/>
        <v>7.9217175614206425</v>
      </c>
      <c r="I69" s="199"/>
      <c r="J69" s="222"/>
      <c r="K69" s="223"/>
    </row>
    <row r="70" spans="1:11" ht="12.75">
      <c r="A70" s="21">
        <f t="shared" si="6"/>
        <v>55</v>
      </c>
      <c r="B70" s="588"/>
      <c r="C70" s="217">
        <f t="shared" si="3"/>
        <v>55</v>
      </c>
      <c r="D70" s="222">
        <f t="shared" si="4"/>
        <v>7.9217175614206425</v>
      </c>
      <c r="E70" s="222">
        <f>IF(C70&lt;=Parameters!$C$23,0,D70*$C$7/12)</f>
        <v>0.08251789126479836</v>
      </c>
      <c r="F70" s="222">
        <f t="shared" si="1"/>
        <v>1.3202862602367738</v>
      </c>
      <c r="G70" s="222">
        <f t="shared" si="5"/>
        <v>1.4028041515015721</v>
      </c>
      <c r="H70" s="222">
        <f t="shared" si="2"/>
        <v>6.601431301183869</v>
      </c>
      <c r="I70" s="199"/>
      <c r="J70" s="222"/>
      <c r="K70" s="223"/>
    </row>
    <row r="71" spans="1:11" ht="12.75">
      <c r="A71" s="21">
        <f t="shared" si="6"/>
        <v>56</v>
      </c>
      <c r="B71" s="588"/>
      <c r="C71" s="217">
        <f t="shared" si="3"/>
        <v>56</v>
      </c>
      <c r="D71" s="222">
        <f t="shared" si="4"/>
        <v>6.601431301183869</v>
      </c>
      <c r="E71" s="222">
        <f>IF(C71&lt;=Parameters!$C$23,0,D71*$C$7/12)</f>
        <v>0.06876490938733197</v>
      </c>
      <c r="F71" s="222">
        <f t="shared" si="1"/>
        <v>1.3202862602367738</v>
      </c>
      <c r="G71" s="222">
        <f t="shared" si="5"/>
        <v>1.3890511696241057</v>
      </c>
      <c r="H71" s="222">
        <f t="shared" si="2"/>
        <v>5.281145040947095</v>
      </c>
      <c r="I71" s="199"/>
      <c r="J71" s="222"/>
      <c r="K71" s="223"/>
    </row>
    <row r="72" spans="1:11" ht="12.75">
      <c r="A72" s="21">
        <f t="shared" si="6"/>
        <v>57</v>
      </c>
      <c r="B72" s="588"/>
      <c r="C72" s="217">
        <f t="shared" si="3"/>
        <v>57</v>
      </c>
      <c r="D72" s="222">
        <f t="shared" si="4"/>
        <v>5.281145040947095</v>
      </c>
      <c r="E72" s="222">
        <f>IF(C72&lt;=Parameters!$C$23,0,D72*$C$7/12)</f>
        <v>0.055011927509865576</v>
      </c>
      <c r="F72" s="222">
        <f t="shared" si="1"/>
        <v>1.3202862602367738</v>
      </c>
      <c r="G72" s="222">
        <f t="shared" si="5"/>
        <v>1.3752981877466393</v>
      </c>
      <c r="H72" s="222">
        <f t="shared" si="2"/>
        <v>3.9608587807103213</v>
      </c>
      <c r="I72" s="199"/>
      <c r="J72" s="222"/>
      <c r="K72" s="223"/>
    </row>
    <row r="73" spans="1:11" ht="12.75">
      <c r="A73" s="21">
        <f t="shared" si="6"/>
        <v>58</v>
      </c>
      <c r="B73" s="588"/>
      <c r="C73" s="217">
        <f t="shared" si="3"/>
        <v>58</v>
      </c>
      <c r="D73" s="222">
        <f t="shared" si="4"/>
        <v>3.9608587807103213</v>
      </c>
      <c r="E73" s="222">
        <f>IF(C73&lt;=Parameters!$C$23,0,D73*$C$7/12)</f>
        <v>0.04125894563239918</v>
      </c>
      <c r="F73" s="222">
        <f t="shared" si="1"/>
        <v>1.3202862602367738</v>
      </c>
      <c r="G73" s="222">
        <f t="shared" si="5"/>
        <v>1.3615452058691728</v>
      </c>
      <c r="H73" s="222">
        <f t="shared" si="2"/>
        <v>2.6405725204735475</v>
      </c>
      <c r="I73" s="199"/>
      <c r="J73" s="222"/>
      <c r="K73" s="223"/>
    </row>
    <row r="74" spans="1:11" ht="12.75">
      <c r="A74" s="21">
        <f t="shared" si="6"/>
        <v>59</v>
      </c>
      <c r="B74" s="588"/>
      <c r="C74" s="217">
        <f t="shared" si="3"/>
        <v>59</v>
      </c>
      <c r="D74" s="222">
        <f t="shared" si="4"/>
        <v>2.6405725204735475</v>
      </c>
      <c r="E74" s="222">
        <f>IF(C74&lt;=Parameters!$C$23,0,D74*$C$7/12)</f>
        <v>0.027505963754932788</v>
      </c>
      <c r="F74" s="222">
        <f t="shared" si="1"/>
        <v>1.3202862602367738</v>
      </c>
      <c r="G74" s="222">
        <f t="shared" si="5"/>
        <v>1.3477922239917066</v>
      </c>
      <c r="H74" s="222">
        <f t="shared" si="2"/>
        <v>1.3202862602367738</v>
      </c>
      <c r="I74" s="199"/>
      <c r="J74" s="222"/>
      <c r="K74" s="223"/>
    </row>
    <row r="75" spans="1:11" ht="13.5" thickBot="1">
      <c r="A75" s="21">
        <f t="shared" si="6"/>
        <v>60</v>
      </c>
      <c r="B75" s="589"/>
      <c r="C75" s="217">
        <f t="shared" si="3"/>
        <v>60</v>
      </c>
      <c r="D75" s="222">
        <f t="shared" si="4"/>
        <v>1.3202862602367738</v>
      </c>
      <c r="E75" s="222">
        <f>IF(C75&lt;=Parameters!$C$23,0,D75*$C$7/12)</f>
        <v>0.013752981877466394</v>
      </c>
      <c r="F75" s="222">
        <f t="shared" si="1"/>
        <v>1.3202862602367738</v>
      </c>
      <c r="G75" s="224">
        <f t="shared" si="5"/>
        <v>1.3340392421142402</v>
      </c>
      <c r="H75" s="222">
        <f t="shared" si="2"/>
        <v>0</v>
      </c>
      <c r="I75" s="225"/>
      <c r="J75" s="224"/>
      <c r="K75" s="226"/>
    </row>
    <row r="76" spans="1:11" ht="12.75">
      <c r="A76" s="21">
        <f t="shared" si="6"/>
        <v>61</v>
      </c>
      <c r="B76" s="587">
        <f>Saving!I7</f>
        <v>6</v>
      </c>
      <c r="C76" s="217">
        <f t="shared" si="3"/>
        <v>61</v>
      </c>
      <c r="D76" s="222">
        <f t="shared" si="4"/>
        <v>0</v>
      </c>
      <c r="E76" s="222">
        <f>IF(C76&lt;=Parameters!$C$23,0,D76*$C$7/12)</f>
        <v>0</v>
      </c>
      <c r="F76" s="222">
        <f t="shared" si="1"/>
        <v>0</v>
      </c>
      <c r="G76" s="227">
        <f t="shared" si="5"/>
        <v>0</v>
      </c>
      <c r="H76" s="222">
        <f t="shared" si="2"/>
        <v>0</v>
      </c>
      <c r="I76" s="228"/>
      <c r="J76" s="227">
        <f>SUM(E76:E87)</f>
        <v>0</v>
      </c>
      <c r="K76" s="223">
        <f>IF(J76&lt;-1,0,(SUM(F76:F87)))</f>
        <v>0</v>
      </c>
    </row>
    <row r="77" spans="1:11" ht="12.75">
      <c r="A77" s="21">
        <f t="shared" si="6"/>
        <v>62</v>
      </c>
      <c r="B77" s="588"/>
      <c r="C77" s="217">
        <f t="shared" si="3"/>
        <v>62</v>
      </c>
      <c r="D77" s="222">
        <f t="shared" si="4"/>
        <v>0</v>
      </c>
      <c r="E77" s="222">
        <f>IF(C77&lt;=Parameters!$C$23,0,D77*$C$7/12)</f>
        <v>0</v>
      </c>
      <c r="F77" s="222">
        <f t="shared" si="1"/>
        <v>0</v>
      </c>
      <c r="G77" s="222">
        <f t="shared" si="5"/>
        <v>0</v>
      </c>
      <c r="H77" s="222">
        <f t="shared" si="2"/>
        <v>0</v>
      </c>
      <c r="I77" s="196"/>
      <c r="J77" s="222"/>
      <c r="K77" s="223"/>
    </row>
    <row r="78" spans="1:11" ht="12.75">
      <c r="A78" s="21">
        <f t="shared" si="6"/>
        <v>63</v>
      </c>
      <c r="B78" s="588"/>
      <c r="C78" s="217">
        <f t="shared" si="3"/>
        <v>63</v>
      </c>
      <c r="D78" s="222">
        <f t="shared" si="4"/>
        <v>0</v>
      </c>
      <c r="E78" s="222">
        <f>IF(C78&lt;=Parameters!$C$23,0,D78*$C$7/12)</f>
        <v>0</v>
      </c>
      <c r="F78" s="222">
        <f t="shared" si="1"/>
        <v>0</v>
      </c>
      <c r="G78" s="222">
        <f t="shared" si="5"/>
        <v>0</v>
      </c>
      <c r="H78" s="222">
        <f t="shared" si="2"/>
        <v>0</v>
      </c>
      <c r="I78" s="196"/>
      <c r="J78" s="222"/>
      <c r="K78" s="223"/>
    </row>
    <row r="79" spans="1:11" ht="12.75">
      <c r="A79" s="21">
        <f t="shared" si="6"/>
        <v>64</v>
      </c>
      <c r="B79" s="588"/>
      <c r="C79" s="217">
        <f t="shared" si="3"/>
        <v>64</v>
      </c>
      <c r="D79" s="222">
        <f t="shared" si="4"/>
        <v>0</v>
      </c>
      <c r="E79" s="222">
        <f>IF(C79&lt;=Parameters!$C$23,0,D79*$C$7/12)</f>
        <v>0</v>
      </c>
      <c r="F79" s="222">
        <f t="shared" si="1"/>
        <v>0</v>
      </c>
      <c r="G79" s="222">
        <f t="shared" si="5"/>
        <v>0</v>
      </c>
      <c r="H79" s="222">
        <f t="shared" si="2"/>
        <v>0</v>
      </c>
      <c r="I79" s="196"/>
      <c r="J79" s="222"/>
      <c r="K79" s="223"/>
    </row>
    <row r="80" spans="1:11" ht="12.75">
      <c r="A80" s="21">
        <f t="shared" si="6"/>
        <v>65</v>
      </c>
      <c r="B80" s="588"/>
      <c r="C80" s="217">
        <f t="shared" si="3"/>
        <v>65</v>
      </c>
      <c r="D80" s="222">
        <f t="shared" si="4"/>
        <v>0</v>
      </c>
      <c r="E80" s="222">
        <f>IF(C80&lt;=Parameters!$C$23,0,D80*$C$7/12)</f>
        <v>0</v>
      </c>
      <c r="F80" s="222">
        <f t="shared" si="1"/>
        <v>0</v>
      </c>
      <c r="G80" s="222">
        <f t="shared" si="5"/>
        <v>0</v>
      </c>
      <c r="H80" s="222">
        <f t="shared" si="2"/>
        <v>0</v>
      </c>
      <c r="I80" s="196"/>
      <c r="J80" s="222"/>
      <c r="K80" s="223"/>
    </row>
    <row r="81" spans="1:11" ht="12.75">
      <c r="A81" s="21">
        <f aca="true" t="shared" si="7" ref="A81:A112">IF(A80&lt;=($C$9*4),(A80+1),"")</f>
        <v>66</v>
      </c>
      <c r="B81" s="588"/>
      <c r="C81" s="217">
        <f t="shared" si="3"/>
        <v>66</v>
      </c>
      <c r="D81" s="222">
        <f t="shared" si="4"/>
        <v>0</v>
      </c>
      <c r="E81" s="222">
        <f>IF(C81&lt;=Parameters!$C$23,0,D81*$C$7/12)</f>
        <v>0</v>
      </c>
      <c r="F81" s="222">
        <f aca="true" t="shared" si="8" ref="F81:F135">IF(C81&lt;=$C$11,0,MIN(D81,$C$6/($C$8-$C$11)))</f>
        <v>0</v>
      </c>
      <c r="G81" s="222">
        <f t="shared" si="5"/>
        <v>0</v>
      </c>
      <c r="H81" s="222">
        <f aca="true" t="shared" si="9" ref="H81:H135">D81+E81-G81</f>
        <v>0</v>
      </c>
      <c r="I81" s="196"/>
      <c r="J81" s="222"/>
      <c r="K81" s="223"/>
    </row>
    <row r="82" spans="1:11" ht="12.75">
      <c r="A82" s="21">
        <f t="shared" si="7"/>
        <v>67</v>
      </c>
      <c r="B82" s="588"/>
      <c r="C82" s="217">
        <f aca="true" t="shared" si="10" ref="C82:C135">C81+1</f>
        <v>67</v>
      </c>
      <c r="D82" s="222">
        <f aca="true" t="shared" si="11" ref="D82:D135">H81</f>
        <v>0</v>
      </c>
      <c r="E82" s="222">
        <f>IF(C82&lt;=Parameters!$C$23,0,D82*$C$7/12)</f>
        <v>0</v>
      </c>
      <c r="F82" s="222">
        <f t="shared" si="8"/>
        <v>0</v>
      </c>
      <c r="G82" s="222">
        <f t="shared" si="5"/>
        <v>0</v>
      </c>
      <c r="H82" s="222">
        <f t="shared" si="9"/>
        <v>0</v>
      </c>
      <c r="I82" s="196"/>
      <c r="J82" s="222"/>
      <c r="K82" s="223"/>
    </row>
    <row r="83" spans="1:11" ht="12.75">
      <c r="A83" s="21">
        <f t="shared" si="7"/>
        <v>68</v>
      </c>
      <c r="B83" s="588"/>
      <c r="C83" s="217">
        <f t="shared" si="10"/>
        <v>68</v>
      </c>
      <c r="D83" s="222">
        <f t="shared" si="11"/>
        <v>0</v>
      </c>
      <c r="E83" s="222">
        <f>IF(C83&lt;=Parameters!$C$23,0,D83*$C$7/12)</f>
        <v>0</v>
      </c>
      <c r="F83" s="222">
        <f t="shared" si="8"/>
        <v>0</v>
      </c>
      <c r="G83" s="222">
        <f aca="true" t="shared" si="12" ref="G83:G114">E83+F83</f>
        <v>0</v>
      </c>
      <c r="H83" s="222">
        <f t="shared" si="9"/>
        <v>0</v>
      </c>
      <c r="I83" s="196"/>
      <c r="J83" s="222"/>
      <c r="K83" s="223"/>
    </row>
    <row r="84" spans="1:11" ht="12.75">
      <c r="A84" s="21">
        <f t="shared" si="7"/>
        <v>69</v>
      </c>
      <c r="B84" s="588"/>
      <c r="C84" s="217">
        <f t="shared" si="10"/>
        <v>69</v>
      </c>
      <c r="D84" s="222">
        <f t="shared" si="11"/>
        <v>0</v>
      </c>
      <c r="E84" s="222">
        <f>IF(C84&lt;=Parameters!$C$23,0,D84*$C$7/12)</f>
        <v>0</v>
      </c>
      <c r="F84" s="222">
        <f t="shared" si="8"/>
        <v>0</v>
      </c>
      <c r="G84" s="222">
        <f t="shared" si="12"/>
        <v>0</v>
      </c>
      <c r="H84" s="222">
        <f t="shared" si="9"/>
        <v>0</v>
      </c>
      <c r="I84" s="196"/>
      <c r="J84" s="222"/>
      <c r="K84" s="223"/>
    </row>
    <row r="85" spans="1:11" ht="12.75">
      <c r="A85" s="21">
        <f t="shared" si="7"/>
        <v>70</v>
      </c>
      <c r="B85" s="588"/>
      <c r="C85" s="217">
        <f t="shared" si="10"/>
        <v>70</v>
      </c>
      <c r="D85" s="222">
        <f t="shared" si="11"/>
        <v>0</v>
      </c>
      <c r="E85" s="222">
        <f>IF(C85&lt;=Parameters!$C$23,0,D85*$C$7/12)</f>
        <v>0</v>
      </c>
      <c r="F85" s="222">
        <f t="shared" si="8"/>
        <v>0</v>
      </c>
      <c r="G85" s="222">
        <f t="shared" si="12"/>
        <v>0</v>
      </c>
      <c r="H85" s="222">
        <f t="shared" si="9"/>
        <v>0</v>
      </c>
      <c r="I85" s="196"/>
      <c r="J85" s="222"/>
      <c r="K85" s="223"/>
    </row>
    <row r="86" spans="1:11" ht="12.75">
      <c r="A86" s="21">
        <f t="shared" si="7"/>
        <v>71</v>
      </c>
      <c r="B86" s="588"/>
      <c r="C86" s="217">
        <f t="shared" si="10"/>
        <v>71</v>
      </c>
      <c r="D86" s="222">
        <f t="shared" si="11"/>
        <v>0</v>
      </c>
      <c r="E86" s="222">
        <f>IF(C86&lt;=Parameters!$C$23,0,D86*$C$7/12)</f>
        <v>0</v>
      </c>
      <c r="F86" s="222">
        <f t="shared" si="8"/>
        <v>0</v>
      </c>
      <c r="G86" s="222">
        <f t="shared" si="12"/>
        <v>0</v>
      </c>
      <c r="H86" s="222">
        <f t="shared" si="9"/>
        <v>0</v>
      </c>
      <c r="I86" s="196"/>
      <c r="J86" s="222"/>
      <c r="K86" s="223"/>
    </row>
    <row r="87" spans="1:11" ht="12.75">
      <c r="A87" s="21">
        <f t="shared" si="7"/>
        <v>72</v>
      </c>
      <c r="B87" s="589"/>
      <c r="C87" s="217">
        <f t="shared" si="10"/>
        <v>72</v>
      </c>
      <c r="D87" s="222">
        <f t="shared" si="11"/>
        <v>0</v>
      </c>
      <c r="E87" s="222">
        <f>IF(C87&lt;=Parameters!$C$23,0,D87*$C$7/12)</f>
        <v>0</v>
      </c>
      <c r="F87" s="222">
        <f t="shared" si="8"/>
        <v>0</v>
      </c>
      <c r="G87" s="222">
        <f t="shared" si="12"/>
        <v>0</v>
      </c>
      <c r="H87" s="222">
        <f t="shared" si="9"/>
        <v>0</v>
      </c>
      <c r="I87" s="196"/>
      <c r="J87" s="222"/>
      <c r="K87" s="223"/>
    </row>
    <row r="88" spans="1:11" ht="12.75">
      <c r="A88" s="21">
        <f t="shared" si="7"/>
        <v>73</v>
      </c>
      <c r="B88" s="587">
        <f>Saving!J7</f>
        <v>7</v>
      </c>
      <c r="C88" s="217">
        <f t="shared" si="10"/>
        <v>73</v>
      </c>
      <c r="D88" s="222">
        <f t="shared" si="11"/>
        <v>0</v>
      </c>
      <c r="E88" s="222">
        <f>IF(C88&lt;=Parameters!$C$23,0,D88*$C$7/12)</f>
        <v>0</v>
      </c>
      <c r="F88" s="222">
        <f t="shared" si="8"/>
        <v>0</v>
      </c>
      <c r="G88" s="222">
        <f t="shared" si="12"/>
        <v>0</v>
      </c>
      <c r="H88" s="222">
        <f t="shared" si="9"/>
        <v>0</v>
      </c>
      <c r="I88" s="196"/>
      <c r="J88" s="222">
        <f>SUM(E88:E99)</f>
        <v>0</v>
      </c>
      <c r="K88" s="223">
        <f>IF(J88&lt;-1,0,(SUM(F88:F99)))</f>
        <v>0</v>
      </c>
    </row>
    <row r="89" spans="1:11" ht="12.75">
      <c r="A89" s="21">
        <f t="shared" si="7"/>
        <v>74</v>
      </c>
      <c r="B89" s="588"/>
      <c r="C89" s="217">
        <f t="shared" si="10"/>
        <v>74</v>
      </c>
      <c r="D89" s="222">
        <f t="shared" si="11"/>
        <v>0</v>
      </c>
      <c r="E89" s="222">
        <f>IF(C89&lt;=Parameters!$C$23,0,D89*$C$7/12)</f>
        <v>0</v>
      </c>
      <c r="F89" s="222">
        <f t="shared" si="8"/>
        <v>0</v>
      </c>
      <c r="G89" s="222">
        <f t="shared" si="12"/>
        <v>0</v>
      </c>
      <c r="H89" s="222">
        <f t="shared" si="9"/>
        <v>0</v>
      </c>
      <c r="I89" s="196"/>
      <c r="J89" s="222"/>
      <c r="K89" s="223"/>
    </row>
    <row r="90" spans="1:11" ht="12.75">
      <c r="A90" s="21">
        <f t="shared" si="7"/>
        <v>75</v>
      </c>
      <c r="B90" s="588"/>
      <c r="C90" s="217">
        <f t="shared" si="10"/>
        <v>75</v>
      </c>
      <c r="D90" s="222">
        <f t="shared" si="11"/>
        <v>0</v>
      </c>
      <c r="E90" s="222">
        <f>IF(C90&lt;=Parameters!$C$23,0,D90*$C$7/12)</f>
        <v>0</v>
      </c>
      <c r="F90" s="222">
        <f t="shared" si="8"/>
        <v>0</v>
      </c>
      <c r="G90" s="222">
        <f t="shared" si="12"/>
        <v>0</v>
      </c>
      <c r="H90" s="222">
        <f t="shared" si="9"/>
        <v>0</v>
      </c>
      <c r="I90" s="196"/>
      <c r="J90" s="222"/>
      <c r="K90" s="223"/>
    </row>
    <row r="91" spans="1:11" ht="12.75">
      <c r="A91" s="21">
        <f t="shared" si="7"/>
        <v>76</v>
      </c>
      <c r="B91" s="588"/>
      <c r="C91" s="217">
        <f t="shared" si="10"/>
        <v>76</v>
      </c>
      <c r="D91" s="222">
        <f t="shared" si="11"/>
        <v>0</v>
      </c>
      <c r="E91" s="222">
        <f>IF(C91&lt;=Parameters!$C$23,0,D91*$C$7/12)</f>
        <v>0</v>
      </c>
      <c r="F91" s="222">
        <f t="shared" si="8"/>
        <v>0</v>
      </c>
      <c r="G91" s="222">
        <f t="shared" si="12"/>
        <v>0</v>
      </c>
      <c r="H91" s="222">
        <f t="shared" si="9"/>
        <v>0</v>
      </c>
      <c r="I91" s="196"/>
      <c r="J91" s="222"/>
      <c r="K91" s="223"/>
    </row>
    <row r="92" spans="1:11" ht="12.75">
      <c r="A92" s="21">
        <f t="shared" si="7"/>
        <v>77</v>
      </c>
      <c r="B92" s="588"/>
      <c r="C92" s="217">
        <f t="shared" si="10"/>
        <v>77</v>
      </c>
      <c r="D92" s="222">
        <f t="shared" si="11"/>
        <v>0</v>
      </c>
      <c r="E92" s="222">
        <f>IF(C92&lt;=Parameters!$C$23,0,D92*$C$7/12)</f>
        <v>0</v>
      </c>
      <c r="F92" s="222">
        <f t="shared" si="8"/>
        <v>0</v>
      </c>
      <c r="G92" s="222">
        <f t="shared" si="12"/>
        <v>0</v>
      </c>
      <c r="H92" s="222">
        <f t="shared" si="9"/>
        <v>0</v>
      </c>
      <c r="I92" s="196"/>
      <c r="J92" s="222"/>
      <c r="K92" s="223"/>
    </row>
    <row r="93" spans="1:11" ht="12.75">
      <c r="A93" s="21">
        <f t="shared" si="7"/>
        <v>78</v>
      </c>
      <c r="B93" s="588"/>
      <c r="C93" s="217">
        <f t="shared" si="10"/>
        <v>78</v>
      </c>
      <c r="D93" s="222">
        <f t="shared" si="11"/>
        <v>0</v>
      </c>
      <c r="E93" s="222">
        <f>IF(C93&lt;=Parameters!$C$23,0,D93*$C$7/12)</f>
        <v>0</v>
      </c>
      <c r="F93" s="222">
        <f t="shared" si="8"/>
        <v>0</v>
      </c>
      <c r="G93" s="222">
        <f t="shared" si="12"/>
        <v>0</v>
      </c>
      <c r="H93" s="222">
        <f t="shared" si="9"/>
        <v>0</v>
      </c>
      <c r="I93" s="196"/>
      <c r="J93" s="222"/>
      <c r="K93" s="223"/>
    </row>
    <row r="94" spans="1:11" ht="12.75">
      <c r="A94" s="21">
        <f t="shared" si="7"/>
        <v>79</v>
      </c>
      <c r="B94" s="588"/>
      <c r="C94" s="217">
        <f t="shared" si="10"/>
        <v>79</v>
      </c>
      <c r="D94" s="222">
        <f t="shared" si="11"/>
        <v>0</v>
      </c>
      <c r="E94" s="222">
        <f>IF(C94&lt;=Parameters!$C$23,0,D94*$C$7/12)</f>
        <v>0</v>
      </c>
      <c r="F94" s="222">
        <f t="shared" si="8"/>
        <v>0</v>
      </c>
      <c r="G94" s="222">
        <f t="shared" si="12"/>
        <v>0</v>
      </c>
      <c r="H94" s="222">
        <f t="shared" si="9"/>
        <v>0</v>
      </c>
      <c r="I94" s="196"/>
      <c r="J94" s="222"/>
      <c r="K94" s="223"/>
    </row>
    <row r="95" spans="1:11" ht="12.75">
      <c r="A95" s="21">
        <f t="shared" si="7"/>
        <v>80</v>
      </c>
      <c r="B95" s="588"/>
      <c r="C95" s="217">
        <f t="shared" si="10"/>
        <v>80</v>
      </c>
      <c r="D95" s="222">
        <f t="shared" si="11"/>
        <v>0</v>
      </c>
      <c r="E95" s="222">
        <f>IF(C95&lt;=Parameters!$C$23,0,D95*$C$7/12)</f>
        <v>0</v>
      </c>
      <c r="F95" s="222">
        <f t="shared" si="8"/>
        <v>0</v>
      </c>
      <c r="G95" s="222">
        <f t="shared" si="12"/>
        <v>0</v>
      </c>
      <c r="H95" s="222">
        <f t="shared" si="9"/>
        <v>0</v>
      </c>
      <c r="I95" s="196"/>
      <c r="J95" s="222"/>
      <c r="K95" s="223"/>
    </row>
    <row r="96" spans="1:11" ht="12.75">
      <c r="A96" s="21">
        <f t="shared" si="7"/>
        <v>81</v>
      </c>
      <c r="B96" s="588"/>
      <c r="C96" s="217">
        <f t="shared" si="10"/>
        <v>81</v>
      </c>
      <c r="D96" s="222">
        <f t="shared" si="11"/>
        <v>0</v>
      </c>
      <c r="E96" s="222">
        <f>IF(C96&lt;=Parameters!$C$23,0,D96*$C$7/12)</f>
        <v>0</v>
      </c>
      <c r="F96" s="222">
        <f t="shared" si="8"/>
        <v>0</v>
      </c>
      <c r="G96" s="222">
        <f t="shared" si="12"/>
        <v>0</v>
      </c>
      <c r="H96" s="222">
        <f t="shared" si="9"/>
        <v>0</v>
      </c>
      <c r="I96" s="196"/>
      <c r="J96" s="222"/>
      <c r="K96" s="223"/>
    </row>
    <row r="97" spans="1:11" ht="12.75">
      <c r="A97" s="21">
        <f t="shared" si="7"/>
        <v>82</v>
      </c>
      <c r="B97" s="588"/>
      <c r="C97" s="217">
        <f t="shared" si="10"/>
        <v>82</v>
      </c>
      <c r="D97" s="222">
        <f t="shared" si="11"/>
        <v>0</v>
      </c>
      <c r="E97" s="222">
        <f>IF(C97&lt;=Parameters!$C$23,0,D97*$C$7/12)</f>
        <v>0</v>
      </c>
      <c r="F97" s="222">
        <f t="shared" si="8"/>
        <v>0</v>
      </c>
      <c r="G97" s="222">
        <f t="shared" si="12"/>
        <v>0</v>
      </c>
      <c r="H97" s="222">
        <f t="shared" si="9"/>
        <v>0</v>
      </c>
      <c r="I97" s="196"/>
      <c r="J97" s="222"/>
      <c r="K97" s="223"/>
    </row>
    <row r="98" spans="1:11" ht="12.75">
      <c r="A98" s="21">
        <f t="shared" si="7"/>
        <v>83</v>
      </c>
      <c r="B98" s="588"/>
      <c r="C98" s="217">
        <f t="shared" si="10"/>
        <v>83</v>
      </c>
      <c r="D98" s="222">
        <f t="shared" si="11"/>
        <v>0</v>
      </c>
      <c r="E98" s="222">
        <f>IF(C98&lt;=Parameters!$C$23,0,D98*$C$7/12)</f>
        <v>0</v>
      </c>
      <c r="F98" s="222">
        <f t="shared" si="8"/>
        <v>0</v>
      </c>
      <c r="G98" s="222">
        <f t="shared" si="12"/>
        <v>0</v>
      </c>
      <c r="H98" s="222">
        <f t="shared" si="9"/>
        <v>0</v>
      </c>
      <c r="I98" s="196"/>
      <c r="J98" s="222"/>
      <c r="K98" s="223"/>
    </row>
    <row r="99" spans="1:11" ht="12.75">
      <c r="A99" s="21">
        <f t="shared" si="7"/>
        <v>84</v>
      </c>
      <c r="B99" s="589"/>
      <c r="C99" s="217">
        <f t="shared" si="10"/>
        <v>84</v>
      </c>
      <c r="D99" s="222">
        <f t="shared" si="11"/>
        <v>0</v>
      </c>
      <c r="E99" s="222">
        <f>IF(C99&lt;=Parameters!$C$23,0,D99*$C$7/12)</f>
        <v>0</v>
      </c>
      <c r="F99" s="222">
        <f t="shared" si="8"/>
        <v>0</v>
      </c>
      <c r="G99" s="222">
        <f t="shared" si="12"/>
        <v>0</v>
      </c>
      <c r="H99" s="222">
        <f t="shared" si="9"/>
        <v>0</v>
      </c>
      <c r="I99" s="196"/>
      <c r="J99" s="222"/>
      <c r="K99" s="223"/>
    </row>
    <row r="100" spans="1:11" ht="12.75">
      <c r="A100" s="21">
        <f t="shared" si="7"/>
        <v>85</v>
      </c>
      <c r="B100" s="587">
        <f>Saving!K7</f>
        <v>8</v>
      </c>
      <c r="C100" s="217">
        <f t="shared" si="10"/>
        <v>85</v>
      </c>
      <c r="D100" s="222">
        <f t="shared" si="11"/>
        <v>0</v>
      </c>
      <c r="E100" s="222">
        <f>IF(C100&lt;=Parameters!$C$23,0,D100*$C$7/12)</f>
        <v>0</v>
      </c>
      <c r="F100" s="222">
        <f t="shared" si="8"/>
        <v>0</v>
      </c>
      <c r="G100" s="222">
        <f t="shared" si="12"/>
        <v>0</v>
      </c>
      <c r="H100" s="222">
        <f t="shared" si="9"/>
        <v>0</v>
      </c>
      <c r="I100" s="196"/>
      <c r="J100" s="222">
        <f>SUM(E100:E111)</f>
        <v>0</v>
      </c>
      <c r="K100" s="223">
        <f>IF(J100&lt;-1,0,(SUM(F100:F111)))</f>
        <v>0</v>
      </c>
    </row>
    <row r="101" spans="1:11" ht="12.75">
      <c r="A101" s="21">
        <f t="shared" si="7"/>
        <v>86</v>
      </c>
      <c r="B101" s="588"/>
      <c r="C101" s="217">
        <f t="shared" si="10"/>
        <v>86</v>
      </c>
      <c r="D101" s="222">
        <f t="shared" si="11"/>
        <v>0</v>
      </c>
      <c r="E101" s="222">
        <f>IF(C101&lt;=Parameters!$C$23,0,D101*$C$7/12)</f>
        <v>0</v>
      </c>
      <c r="F101" s="222">
        <f t="shared" si="8"/>
        <v>0</v>
      </c>
      <c r="G101" s="222">
        <f t="shared" si="12"/>
        <v>0</v>
      </c>
      <c r="H101" s="222">
        <f t="shared" si="9"/>
        <v>0</v>
      </c>
      <c r="I101" s="196"/>
      <c r="J101" s="222"/>
      <c r="K101" s="223"/>
    </row>
    <row r="102" spans="1:11" ht="12.75">
      <c r="A102" s="21">
        <f t="shared" si="7"/>
        <v>87</v>
      </c>
      <c r="B102" s="588"/>
      <c r="C102" s="217">
        <f t="shared" si="10"/>
        <v>87</v>
      </c>
      <c r="D102" s="222">
        <f t="shared" si="11"/>
        <v>0</v>
      </c>
      <c r="E102" s="222">
        <f>IF(C102&lt;=Parameters!$C$23,0,D102*$C$7/12)</f>
        <v>0</v>
      </c>
      <c r="F102" s="222">
        <f t="shared" si="8"/>
        <v>0</v>
      </c>
      <c r="G102" s="222">
        <f t="shared" si="12"/>
        <v>0</v>
      </c>
      <c r="H102" s="222">
        <f t="shared" si="9"/>
        <v>0</v>
      </c>
      <c r="I102" s="196"/>
      <c r="J102" s="222"/>
      <c r="K102" s="223"/>
    </row>
    <row r="103" spans="1:11" ht="12.75">
      <c r="A103" s="21">
        <f t="shared" si="7"/>
        <v>88</v>
      </c>
      <c r="B103" s="588"/>
      <c r="C103" s="217">
        <f t="shared" si="10"/>
        <v>88</v>
      </c>
      <c r="D103" s="222">
        <f t="shared" si="11"/>
        <v>0</v>
      </c>
      <c r="E103" s="222">
        <f>IF(C103&lt;=Parameters!$C$23,0,D103*$C$7/12)</f>
        <v>0</v>
      </c>
      <c r="F103" s="222">
        <f t="shared" si="8"/>
        <v>0</v>
      </c>
      <c r="G103" s="222">
        <f t="shared" si="12"/>
        <v>0</v>
      </c>
      <c r="H103" s="222">
        <f t="shared" si="9"/>
        <v>0</v>
      </c>
      <c r="I103" s="196"/>
      <c r="J103" s="222"/>
      <c r="K103" s="223"/>
    </row>
    <row r="104" spans="1:11" ht="12.75">
      <c r="A104" s="21">
        <f t="shared" si="7"/>
        <v>89</v>
      </c>
      <c r="B104" s="588"/>
      <c r="C104" s="217">
        <f t="shared" si="10"/>
        <v>89</v>
      </c>
      <c r="D104" s="222">
        <f t="shared" si="11"/>
        <v>0</v>
      </c>
      <c r="E104" s="222">
        <f>IF(C104&lt;=Parameters!$C$23,0,D104*$C$7/12)</f>
        <v>0</v>
      </c>
      <c r="F104" s="222">
        <f t="shared" si="8"/>
        <v>0</v>
      </c>
      <c r="G104" s="222">
        <f t="shared" si="12"/>
        <v>0</v>
      </c>
      <c r="H104" s="222">
        <f t="shared" si="9"/>
        <v>0</v>
      </c>
      <c r="I104" s="196"/>
      <c r="J104" s="222"/>
      <c r="K104" s="223"/>
    </row>
    <row r="105" spans="1:11" ht="12.75">
      <c r="A105" s="21">
        <f t="shared" si="7"/>
        <v>90</v>
      </c>
      <c r="B105" s="588"/>
      <c r="C105" s="217">
        <f t="shared" si="10"/>
        <v>90</v>
      </c>
      <c r="D105" s="222">
        <f t="shared" si="11"/>
        <v>0</v>
      </c>
      <c r="E105" s="222">
        <f>IF(C105&lt;=Parameters!$C$23,0,D105*$C$7/12)</f>
        <v>0</v>
      </c>
      <c r="F105" s="222">
        <f t="shared" si="8"/>
        <v>0</v>
      </c>
      <c r="G105" s="222">
        <f t="shared" si="12"/>
        <v>0</v>
      </c>
      <c r="H105" s="222">
        <f t="shared" si="9"/>
        <v>0</v>
      </c>
      <c r="I105" s="196"/>
      <c r="J105" s="222"/>
      <c r="K105" s="223"/>
    </row>
    <row r="106" spans="1:11" ht="12.75">
      <c r="A106" s="21">
        <f t="shared" si="7"/>
        <v>91</v>
      </c>
      <c r="B106" s="588"/>
      <c r="C106" s="217">
        <f t="shared" si="10"/>
        <v>91</v>
      </c>
      <c r="D106" s="222">
        <f t="shared" si="11"/>
        <v>0</v>
      </c>
      <c r="E106" s="222">
        <f>IF(C106&lt;=Parameters!$C$23,0,D106*$C$7/12)</f>
        <v>0</v>
      </c>
      <c r="F106" s="222">
        <f t="shared" si="8"/>
        <v>0</v>
      </c>
      <c r="G106" s="222">
        <f t="shared" si="12"/>
        <v>0</v>
      </c>
      <c r="H106" s="222">
        <f t="shared" si="9"/>
        <v>0</v>
      </c>
      <c r="I106" s="196"/>
      <c r="J106" s="222"/>
      <c r="K106" s="223"/>
    </row>
    <row r="107" spans="1:11" ht="12.75">
      <c r="A107" s="21">
        <f t="shared" si="7"/>
        <v>92</v>
      </c>
      <c r="B107" s="588"/>
      <c r="C107" s="217">
        <f t="shared" si="10"/>
        <v>92</v>
      </c>
      <c r="D107" s="222">
        <f t="shared" si="11"/>
        <v>0</v>
      </c>
      <c r="E107" s="222">
        <f>IF(C107&lt;=Parameters!$C$23,0,D107*$C$7/12)</f>
        <v>0</v>
      </c>
      <c r="F107" s="222">
        <f t="shared" si="8"/>
        <v>0</v>
      </c>
      <c r="G107" s="222">
        <f t="shared" si="12"/>
        <v>0</v>
      </c>
      <c r="H107" s="222">
        <f t="shared" si="9"/>
        <v>0</v>
      </c>
      <c r="I107" s="196"/>
      <c r="J107" s="222"/>
      <c r="K107" s="223"/>
    </row>
    <row r="108" spans="1:11" ht="12.75">
      <c r="A108" s="21">
        <f t="shared" si="7"/>
        <v>93</v>
      </c>
      <c r="B108" s="588"/>
      <c r="C108" s="217">
        <f t="shared" si="10"/>
        <v>93</v>
      </c>
      <c r="D108" s="222">
        <f t="shared" si="11"/>
        <v>0</v>
      </c>
      <c r="E108" s="222">
        <f>IF(C108&lt;=Parameters!$C$23,0,D108*$C$7/12)</f>
        <v>0</v>
      </c>
      <c r="F108" s="222">
        <f t="shared" si="8"/>
        <v>0</v>
      </c>
      <c r="G108" s="222">
        <f t="shared" si="12"/>
        <v>0</v>
      </c>
      <c r="H108" s="222">
        <f t="shared" si="9"/>
        <v>0</v>
      </c>
      <c r="I108" s="196"/>
      <c r="J108" s="222"/>
      <c r="K108" s="223"/>
    </row>
    <row r="109" spans="1:11" ht="12.75">
      <c r="A109" s="21">
        <f t="shared" si="7"/>
        <v>94</v>
      </c>
      <c r="B109" s="588"/>
      <c r="C109" s="217">
        <f t="shared" si="10"/>
        <v>94</v>
      </c>
      <c r="D109" s="222">
        <f t="shared" si="11"/>
        <v>0</v>
      </c>
      <c r="E109" s="222">
        <f>IF(C109&lt;=Parameters!$C$23,0,D109*$C$7/12)</f>
        <v>0</v>
      </c>
      <c r="F109" s="222">
        <f t="shared" si="8"/>
        <v>0</v>
      </c>
      <c r="G109" s="222">
        <f t="shared" si="12"/>
        <v>0</v>
      </c>
      <c r="H109" s="222">
        <f t="shared" si="9"/>
        <v>0</v>
      </c>
      <c r="I109" s="196"/>
      <c r="J109" s="222"/>
      <c r="K109" s="223"/>
    </row>
    <row r="110" spans="1:11" ht="12.75">
      <c r="A110" s="21">
        <f t="shared" si="7"/>
        <v>95</v>
      </c>
      <c r="B110" s="588"/>
      <c r="C110" s="217">
        <f t="shared" si="10"/>
        <v>95</v>
      </c>
      <c r="D110" s="222">
        <f t="shared" si="11"/>
        <v>0</v>
      </c>
      <c r="E110" s="222">
        <f>IF(C110&lt;=Parameters!$C$23,0,D110*$C$7/12)</f>
        <v>0</v>
      </c>
      <c r="F110" s="222">
        <f t="shared" si="8"/>
        <v>0</v>
      </c>
      <c r="G110" s="222">
        <f t="shared" si="12"/>
        <v>0</v>
      </c>
      <c r="H110" s="222">
        <f t="shared" si="9"/>
        <v>0</v>
      </c>
      <c r="I110" s="196"/>
      <c r="J110" s="222"/>
      <c r="K110" s="223"/>
    </row>
    <row r="111" spans="1:11" ht="12.75">
      <c r="A111" s="21">
        <f t="shared" si="7"/>
        <v>96</v>
      </c>
      <c r="B111" s="589"/>
      <c r="C111" s="217">
        <f t="shared" si="10"/>
        <v>96</v>
      </c>
      <c r="D111" s="222">
        <f t="shared" si="11"/>
        <v>0</v>
      </c>
      <c r="E111" s="222">
        <f>IF(C111&lt;=Parameters!$C$23,0,D111*$C$7/12)</f>
        <v>0</v>
      </c>
      <c r="F111" s="222">
        <f t="shared" si="8"/>
        <v>0</v>
      </c>
      <c r="G111" s="222">
        <f t="shared" si="12"/>
        <v>0</v>
      </c>
      <c r="H111" s="222">
        <f t="shared" si="9"/>
        <v>0</v>
      </c>
      <c r="I111" s="196"/>
      <c r="J111" s="222"/>
      <c r="K111" s="223"/>
    </row>
    <row r="112" spans="1:11" ht="12.75">
      <c r="A112" s="21">
        <f t="shared" si="7"/>
        <v>97</v>
      </c>
      <c r="B112" s="587">
        <f>Saving!L7</f>
        <v>9</v>
      </c>
      <c r="C112" s="217">
        <f t="shared" si="10"/>
        <v>97</v>
      </c>
      <c r="D112" s="222">
        <f t="shared" si="11"/>
        <v>0</v>
      </c>
      <c r="E112" s="222">
        <f>IF(C112&lt;=Parameters!$C$23,0,D112*$C$7/12)</f>
        <v>0</v>
      </c>
      <c r="F112" s="222">
        <f t="shared" si="8"/>
        <v>0</v>
      </c>
      <c r="G112" s="222">
        <f t="shared" si="12"/>
        <v>0</v>
      </c>
      <c r="H112" s="222">
        <f t="shared" si="9"/>
        <v>0</v>
      </c>
      <c r="I112" s="196"/>
      <c r="J112" s="222">
        <f>SUM(E112:E123)</f>
        <v>0</v>
      </c>
      <c r="K112" s="223">
        <f>IF(J112&lt;-1,0,(SUM(F112:F123)))</f>
        <v>0</v>
      </c>
    </row>
    <row r="113" spans="1:11" ht="12.75">
      <c r="A113" s="21">
        <f aca="true" t="shared" si="13" ref="A113:A135">IF(A112&lt;=($C$9*4),(A112+1),"")</f>
        <v>98</v>
      </c>
      <c r="B113" s="588"/>
      <c r="C113" s="217">
        <f t="shared" si="10"/>
        <v>98</v>
      </c>
      <c r="D113" s="222">
        <f t="shared" si="11"/>
        <v>0</v>
      </c>
      <c r="E113" s="222">
        <f>IF(C113&lt;=Parameters!$C$23,0,D113*$C$7/12)</f>
        <v>0</v>
      </c>
      <c r="F113" s="222">
        <f t="shared" si="8"/>
        <v>0</v>
      </c>
      <c r="G113" s="222">
        <f t="shared" si="12"/>
        <v>0</v>
      </c>
      <c r="H113" s="222">
        <f t="shared" si="9"/>
        <v>0</v>
      </c>
      <c r="I113" s="196"/>
      <c r="J113" s="222"/>
      <c r="K113" s="223"/>
    </row>
    <row r="114" spans="1:11" ht="12.75">
      <c r="A114" s="21">
        <f t="shared" si="13"/>
        <v>99</v>
      </c>
      <c r="B114" s="588"/>
      <c r="C114" s="217">
        <f t="shared" si="10"/>
        <v>99</v>
      </c>
      <c r="D114" s="222">
        <f t="shared" si="11"/>
        <v>0</v>
      </c>
      <c r="E114" s="222">
        <f>IF(C114&lt;=Parameters!$C$23,0,D114*$C$7/12)</f>
        <v>0</v>
      </c>
      <c r="F114" s="222">
        <f t="shared" si="8"/>
        <v>0</v>
      </c>
      <c r="G114" s="222">
        <f t="shared" si="12"/>
        <v>0</v>
      </c>
      <c r="H114" s="222">
        <f t="shared" si="9"/>
        <v>0</v>
      </c>
      <c r="I114" s="196"/>
      <c r="J114" s="222"/>
      <c r="K114" s="223"/>
    </row>
    <row r="115" spans="1:11" ht="12.75">
      <c r="A115" s="21">
        <f t="shared" si="13"/>
        <v>100</v>
      </c>
      <c r="B115" s="588"/>
      <c r="C115" s="217">
        <f t="shared" si="10"/>
        <v>100</v>
      </c>
      <c r="D115" s="222">
        <f t="shared" si="11"/>
        <v>0</v>
      </c>
      <c r="E115" s="222">
        <f>IF(C115&lt;=Parameters!$C$23,0,D115*$C$7/12)</f>
        <v>0</v>
      </c>
      <c r="F115" s="222">
        <f t="shared" si="8"/>
        <v>0</v>
      </c>
      <c r="G115" s="222">
        <f aca="true" t="shared" si="14" ref="G115:G135">E115+F115</f>
        <v>0</v>
      </c>
      <c r="H115" s="222">
        <f t="shared" si="9"/>
        <v>0</v>
      </c>
      <c r="I115" s="196"/>
      <c r="J115" s="222"/>
      <c r="K115" s="223"/>
    </row>
    <row r="116" spans="1:11" ht="12.75">
      <c r="A116" s="21">
        <f t="shared" si="13"/>
        <v>101</v>
      </c>
      <c r="B116" s="588"/>
      <c r="C116" s="217">
        <f t="shared" si="10"/>
        <v>101</v>
      </c>
      <c r="D116" s="222">
        <f t="shared" si="11"/>
        <v>0</v>
      </c>
      <c r="E116" s="222">
        <f>IF(C116&lt;=Parameters!$C$23,0,D116*$C$7/12)</f>
        <v>0</v>
      </c>
      <c r="F116" s="222">
        <f t="shared" si="8"/>
        <v>0</v>
      </c>
      <c r="G116" s="222">
        <f t="shared" si="14"/>
        <v>0</v>
      </c>
      <c r="H116" s="222">
        <f t="shared" si="9"/>
        <v>0</v>
      </c>
      <c r="I116" s="196"/>
      <c r="J116" s="222"/>
      <c r="K116" s="223"/>
    </row>
    <row r="117" spans="1:11" ht="12.75">
      <c r="A117" s="21">
        <f t="shared" si="13"/>
        <v>102</v>
      </c>
      <c r="B117" s="588"/>
      <c r="C117" s="217">
        <f t="shared" si="10"/>
        <v>102</v>
      </c>
      <c r="D117" s="222">
        <f t="shared" si="11"/>
        <v>0</v>
      </c>
      <c r="E117" s="222">
        <f>IF(C117&lt;=Parameters!$C$23,0,D117*$C$7/12)</f>
        <v>0</v>
      </c>
      <c r="F117" s="222">
        <f t="shared" si="8"/>
        <v>0</v>
      </c>
      <c r="G117" s="222">
        <f t="shared" si="14"/>
        <v>0</v>
      </c>
      <c r="H117" s="222">
        <f t="shared" si="9"/>
        <v>0</v>
      </c>
      <c r="I117" s="196"/>
      <c r="J117" s="222"/>
      <c r="K117" s="223"/>
    </row>
    <row r="118" spans="1:11" ht="12.75">
      <c r="A118" s="21">
        <f t="shared" si="13"/>
        <v>103</v>
      </c>
      <c r="B118" s="588"/>
      <c r="C118" s="217">
        <f t="shared" si="10"/>
        <v>103</v>
      </c>
      <c r="D118" s="222">
        <f t="shared" si="11"/>
        <v>0</v>
      </c>
      <c r="E118" s="222">
        <f>IF(C118&lt;=Parameters!$C$23,0,D118*$C$7/12)</f>
        <v>0</v>
      </c>
      <c r="F118" s="222">
        <f t="shared" si="8"/>
        <v>0</v>
      </c>
      <c r="G118" s="222">
        <f t="shared" si="14"/>
        <v>0</v>
      </c>
      <c r="H118" s="222">
        <f t="shared" si="9"/>
        <v>0</v>
      </c>
      <c r="I118" s="196"/>
      <c r="J118" s="222"/>
      <c r="K118" s="223"/>
    </row>
    <row r="119" spans="1:11" ht="12.75">
      <c r="A119" s="21">
        <f t="shared" si="13"/>
        <v>104</v>
      </c>
      <c r="B119" s="588"/>
      <c r="C119" s="217">
        <f t="shared" si="10"/>
        <v>104</v>
      </c>
      <c r="D119" s="222">
        <f t="shared" si="11"/>
        <v>0</v>
      </c>
      <c r="E119" s="222">
        <f>IF(C119&lt;=Parameters!$C$23,0,D119*$C$7/12)</f>
        <v>0</v>
      </c>
      <c r="F119" s="222">
        <f t="shared" si="8"/>
        <v>0</v>
      </c>
      <c r="G119" s="222">
        <f t="shared" si="14"/>
        <v>0</v>
      </c>
      <c r="H119" s="222">
        <f t="shared" si="9"/>
        <v>0</v>
      </c>
      <c r="I119" s="196"/>
      <c r="J119" s="222"/>
      <c r="K119" s="223"/>
    </row>
    <row r="120" spans="1:11" ht="12.75">
      <c r="A120" s="21">
        <f t="shared" si="13"/>
        <v>105</v>
      </c>
      <c r="B120" s="588"/>
      <c r="C120" s="217">
        <f t="shared" si="10"/>
        <v>105</v>
      </c>
      <c r="D120" s="222">
        <f t="shared" si="11"/>
        <v>0</v>
      </c>
      <c r="E120" s="222">
        <f>IF(C120&lt;=Parameters!$C$23,0,D120*$C$7/12)</f>
        <v>0</v>
      </c>
      <c r="F120" s="222">
        <f t="shared" si="8"/>
        <v>0</v>
      </c>
      <c r="G120" s="222">
        <f t="shared" si="14"/>
        <v>0</v>
      </c>
      <c r="H120" s="222">
        <f t="shared" si="9"/>
        <v>0</v>
      </c>
      <c r="I120" s="196"/>
      <c r="J120" s="222"/>
      <c r="K120" s="223"/>
    </row>
    <row r="121" spans="1:11" ht="12.75">
      <c r="A121" s="21">
        <f t="shared" si="13"/>
        <v>106</v>
      </c>
      <c r="B121" s="588"/>
      <c r="C121" s="217">
        <f t="shared" si="10"/>
        <v>106</v>
      </c>
      <c r="D121" s="222">
        <f t="shared" si="11"/>
        <v>0</v>
      </c>
      <c r="E121" s="222">
        <f>IF(C121&lt;=Parameters!$C$23,0,D121*$C$7/12)</f>
        <v>0</v>
      </c>
      <c r="F121" s="222">
        <f t="shared" si="8"/>
        <v>0</v>
      </c>
      <c r="G121" s="222">
        <f t="shared" si="14"/>
        <v>0</v>
      </c>
      <c r="H121" s="222">
        <f t="shared" si="9"/>
        <v>0</v>
      </c>
      <c r="I121" s="196"/>
      <c r="J121" s="222"/>
      <c r="K121" s="223"/>
    </row>
    <row r="122" spans="1:11" ht="12.75">
      <c r="A122" s="21">
        <f t="shared" si="13"/>
        <v>107</v>
      </c>
      <c r="B122" s="588"/>
      <c r="C122" s="217">
        <f t="shared" si="10"/>
        <v>107</v>
      </c>
      <c r="D122" s="222">
        <f t="shared" si="11"/>
        <v>0</v>
      </c>
      <c r="E122" s="222">
        <f>IF(C122&lt;=Parameters!$C$23,0,D122*$C$7/12)</f>
        <v>0</v>
      </c>
      <c r="F122" s="222">
        <f t="shared" si="8"/>
        <v>0</v>
      </c>
      <c r="G122" s="222">
        <f t="shared" si="14"/>
        <v>0</v>
      </c>
      <c r="H122" s="222">
        <f t="shared" si="9"/>
        <v>0</v>
      </c>
      <c r="I122" s="196"/>
      <c r="J122" s="222"/>
      <c r="K122" s="223"/>
    </row>
    <row r="123" spans="1:11" ht="12.75">
      <c r="A123" s="21">
        <f t="shared" si="13"/>
        <v>108</v>
      </c>
      <c r="B123" s="589"/>
      <c r="C123" s="217">
        <f t="shared" si="10"/>
        <v>108</v>
      </c>
      <c r="D123" s="222">
        <f t="shared" si="11"/>
        <v>0</v>
      </c>
      <c r="E123" s="222">
        <f>IF(C123&lt;=Parameters!$C$23,0,D123*$C$7/12)</f>
        <v>0</v>
      </c>
      <c r="F123" s="222">
        <f t="shared" si="8"/>
        <v>0</v>
      </c>
      <c r="G123" s="222">
        <f t="shared" si="14"/>
        <v>0</v>
      </c>
      <c r="H123" s="222">
        <f t="shared" si="9"/>
        <v>0</v>
      </c>
      <c r="I123" s="196"/>
      <c r="J123" s="222"/>
      <c r="K123" s="223"/>
    </row>
    <row r="124" spans="1:11" ht="12.75">
      <c r="A124" s="21">
        <f t="shared" si="13"/>
        <v>109</v>
      </c>
      <c r="B124" s="587">
        <f>Saving!M7</f>
        <v>10</v>
      </c>
      <c r="C124" s="217">
        <f t="shared" si="10"/>
        <v>109</v>
      </c>
      <c r="D124" s="222">
        <f t="shared" si="11"/>
        <v>0</v>
      </c>
      <c r="E124" s="222">
        <f>IF(C124&lt;=Parameters!$C$23,0,D124*$C$7/12)</f>
        <v>0</v>
      </c>
      <c r="F124" s="222">
        <f t="shared" si="8"/>
        <v>0</v>
      </c>
      <c r="G124" s="222">
        <f t="shared" si="14"/>
        <v>0</v>
      </c>
      <c r="H124" s="222">
        <f t="shared" si="9"/>
        <v>0</v>
      </c>
      <c r="I124" s="196"/>
      <c r="J124" s="222">
        <f>SUM(E124:E135)</f>
        <v>0</v>
      </c>
      <c r="K124" s="223">
        <f>IF(J124&lt;-1,0,(SUM(F124:F135)))</f>
        <v>0</v>
      </c>
    </row>
    <row r="125" spans="1:11" ht="12.75">
      <c r="A125" s="21">
        <f t="shared" si="13"/>
        <v>110</v>
      </c>
      <c r="B125" s="588"/>
      <c r="C125" s="217">
        <f t="shared" si="10"/>
        <v>110</v>
      </c>
      <c r="D125" s="222">
        <f t="shared" si="11"/>
        <v>0</v>
      </c>
      <c r="E125" s="222">
        <f>IF(C125&lt;=Parameters!$C$23,0,D125*$C$7/12)</f>
        <v>0</v>
      </c>
      <c r="F125" s="222">
        <f t="shared" si="8"/>
        <v>0</v>
      </c>
      <c r="G125" s="222">
        <f t="shared" si="14"/>
        <v>0</v>
      </c>
      <c r="H125" s="222">
        <f t="shared" si="9"/>
        <v>0</v>
      </c>
      <c r="I125" s="196"/>
      <c r="J125" s="222"/>
      <c r="K125" s="223"/>
    </row>
    <row r="126" spans="1:11" ht="12.75">
      <c r="A126" s="21">
        <f t="shared" si="13"/>
        <v>111</v>
      </c>
      <c r="B126" s="588"/>
      <c r="C126" s="217">
        <f t="shared" si="10"/>
        <v>111</v>
      </c>
      <c r="D126" s="222">
        <f t="shared" si="11"/>
        <v>0</v>
      </c>
      <c r="E126" s="222">
        <f>IF(C126&lt;=Parameters!$C$23,0,D126*$C$7/12)</f>
        <v>0</v>
      </c>
      <c r="F126" s="222">
        <f t="shared" si="8"/>
        <v>0</v>
      </c>
      <c r="G126" s="222">
        <f t="shared" si="14"/>
        <v>0</v>
      </c>
      <c r="H126" s="222">
        <f t="shared" si="9"/>
        <v>0</v>
      </c>
      <c r="I126" s="196"/>
      <c r="J126" s="222"/>
      <c r="K126" s="223"/>
    </row>
    <row r="127" spans="1:11" ht="12.75">
      <c r="A127" s="21">
        <f t="shared" si="13"/>
        <v>112</v>
      </c>
      <c r="B127" s="588"/>
      <c r="C127" s="217">
        <f t="shared" si="10"/>
        <v>112</v>
      </c>
      <c r="D127" s="222">
        <f t="shared" si="11"/>
        <v>0</v>
      </c>
      <c r="E127" s="222">
        <f>IF(C127&lt;=Parameters!$C$23,0,D127*$C$7/12)</f>
        <v>0</v>
      </c>
      <c r="F127" s="222">
        <f t="shared" si="8"/>
        <v>0</v>
      </c>
      <c r="G127" s="222">
        <f t="shared" si="14"/>
        <v>0</v>
      </c>
      <c r="H127" s="222">
        <f t="shared" si="9"/>
        <v>0</v>
      </c>
      <c r="I127" s="196"/>
      <c r="J127" s="222"/>
      <c r="K127" s="223"/>
    </row>
    <row r="128" spans="1:11" ht="12.75">
      <c r="A128" s="21">
        <f t="shared" si="13"/>
        <v>113</v>
      </c>
      <c r="B128" s="588"/>
      <c r="C128" s="217">
        <f t="shared" si="10"/>
        <v>113</v>
      </c>
      <c r="D128" s="222">
        <f t="shared" si="11"/>
        <v>0</v>
      </c>
      <c r="E128" s="222">
        <f>IF(C128&lt;=Parameters!$C$23,0,D128*$C$7/12)</f>
        <v>0</v>
      </c>
      <c r="F128" s="222">
        <f t="shared" si="8"/>
        <v>0</v>
      </c>
      <c r="G128" s="222">
        <f t="shared" si="14"/>
        <v>0</v>
      </c>
      <c r="H128" s="222">
        <f t="shared" si="9"/>
        <v>0</v>
      </c>
      <c r="I128" s="196"/>
      <c r="J128" s="222"/>
      <c r="K128" s="223"/>
    </row>
    <row r="129" spans="1:11" ht="12.75">
      <c r="A129" s="21">
        <f t="shared" si="13"/>
        <v>114</v>
      </c>
      <c r="B129" s="588"/>
      <c r="C129" s="217">
        <f t="shared" si="10"/>
        <v>114</v>
      </c>
      <c r="D129" s="222">
        <f t="shared" si="11"/>
        <v>0</v>
      </c>
      <c r="E129" s="222">
        <f>IF(C129&lt;=Parameters!$C$23,0,D129*$C$7/12)</f>
        <v>0</v>
      </c>
      <c r="F129" s="222">
        <f t="shared" si="8"/>
        <v>0</v>
      </c>
      <c r="G129" s="222">
        <f t="shared" si="14"/>
        <v>0</v>
      </c>
      <c r="H129" s="222">
        <f t="shared" si="9"/>
        <v>0</v>
      </c>
      <c r="I129" s="196"/>
      <c r="J129" s="222"/>
      <c r="K129" s="223"/>
    </row>
    <row r="130" spans="1:11" ht="12.75">
      <c r="A130" s="21">
        <f t="shared" si="13"/>
        <v>115</v>
      </c>
      <c r="B130" s="588"/>
      <c r="C130" s="217">
        <f t="shared" si="10"/>
        <v>115</v>
      </c>
      <c r="D130" s="222">
        <f t="shared" si="11"/>
        <v>0</v>
      </c>
      <c r="E130" s="222">
        <f>IF(C130&lt;=Parameters!$C$23,0,D130*$C$7/12)</f>
        <v>0</v>
      </c>
      <c r="F130" s="222">
        <f t="shared" si="8"/>
        <v>0</v>
      </c>
      <c r="G130" s="222">
        <f t="shared" si="14"/>
        <v>0</v>
      </c>
      <c r="H130" s="222">
        <f t="shared" si="9"/>
        <v>0</v>
      </c>
      <c r="I130" s="196"/>
      <c r="J130" s="222"/>
      <c r="K130" s="223"/>
    </row>
    <row r="131" spans="1:11" ht="12.75">
      <c r="A131" s="21">
        <f t="shared" si="13"/>
        <v>116</v>
      </c>
      <c r="B131" s="588"/>
      <c r="C131" s="217">
        <f t="shared" si="10"/>
        <v>116</v>
      </c>
      <c r="D131" s="222">
        <f t="shared" si="11"/>
        <v>0</v>
      </c>
      <c r="E131" s="222">
        <f>IF(C131&lt;=Parameters!$C$23,0,D131*$C$7/12)</f>
        <v>0</v>
      </c>
      <c r="F131" s="222">
        <f t="shared" si="8"/>
        <v>0</v>
      </c>
      <c r="G131" s="222">
        <f t="shared" si="14"/>
        <v>0</v>
      </c>
      <c r="H131" s="222">
        <f t="shared" si="9"/>
        <v>0</v>
      </c>
      <c r="I131" s="196"/>
      <c r="J131" s="222"/>
      <c r="K131" s="223"/>
    </row>
    <row r="132" spans="1:11" ht="12.75">
      <c r="A132" s="21">
        <f t="shared" si="13"/>
        <v>117</v>
      </c>
      <c r="B132" s="588"/>
      <c r="C132" s="217">
        <f t="shared" si="10"/>
        <v>117</v>
      </c>
      <c r="D132" s="222">
        <f t="shared" si="11"/>
        <v>0</v>
      </c>
      <c r="E132" s="222">
        <f>IF(C132&lt;=Parameters!$C$23,0,D132*$C$7/12)</f>
        <v>0</v>
      </c>
      <c r="F132" s="222">
        <f t="shared" si="8"/>
        <v>0</v>
      </c>
      <c r="G132" s="222">
        <f t="shared" si="14"/>
        <v>0</v>
      </c>
      <c r="H132" s="222">
        <f t="shared" si="9"/>
        <v>0</v>
      </c>
      <c r="I132" s="196"/>
      <c r="J132" s="222"/>
      <c r="K132" s="223"/>
    </row>
    <row r="133" spans="1:11" ht="12.75">
      <c r="A133" s="21">
        <f t="shared" si="13"/>
        <v>118</v>
      </c>
      <c r="B133" s="588"/>
      <c r="C133" s="217">
        <f t="shared" si="10"/>
        <v>118</v>
      </c>
      <c r="D133" s="222">
        <f t="shared" si="11"/>
        <v>0</v>
      </c>
      <c r="E133" s="222">
        <f>IF(C133&lt;=Parameters!$C$23,0,D133*$C$7/12)</f>
        <v>0</v>
      </c>
      <c r="F133" s="222">
        <f t="shared" si="8"/>
        <v>0</v>
      </c>
      <c r="G133" s="222">
        <f t="shared" si="14"/>
        <v>0</v>
      </c>
      <c r="H133" s="222">
        <f t="shared" si="9"/>
        <v>0</v>
      </c>
      <c r="I133" s="196"/>
      <c r="J133" s="222"/>
      <c r="K133" s="223"/>
    </row>
    <row r="134" spans="1:11" ht="12.75">
      <c r="A134" s="21">
        <f t="shared" si="13"/>
        <v>119</v>
      </c>
      <c r="B134" s="588"/>
      <c r="C134" s="217">
        <f t="shared" si="10"/>
        <v>119</v>
      </c>
      <c r="D134" s="222">
        <f t="shared" si="11"/>
        <v>0</v>
      </c>
      <c r="E134" s="222">
        <f>IF(C134&lt;=Parameters!$C$23,0,D134*$C$7/12)</f>
        <v>0</v>
      </c>
      <c r="F134" s="222">
        <f t="shared" si="8"/>
        <v>0</v>
      </c>
      <c r="G134" s="222">
        <f t="shared" si="14"/>
        <v>0</v>
      </c>
      <c r="H134" s="222">
        <f t="shared" si="9"/>
        <v>0</v>
      </c>
      <c r="I134" s="196"/>
      <c r="J134" s="222"/>
      <c r="K134" s="223"/>
    </row>
    <row r="135" spans="1:11" ht="12.75">
      <c r="A135" s="21">
        <f t="shared" si="13"/>
        <v>120</v>
      </c>
      <c r="B135" s="589"/>
      <c r="C135" s="217">
        <f t="shared" si="10"/>
        <v>120</v>
      </c>
      <c r="D135" s="222">
        <f t="shared" si="11"/>
        <v>0</v>
      </c>
      <c r="E135" s="222">
        <f>IF(C135&lt;=Parameters!$C$23,0,D135*$C$7/12)</f>
        <v>0</v>
      </c>
      <c r="F135" s="222">
        <f t="shared" si="8"/>
        <v>0</v>
      </c>
      <c r="G135" s="229">
        <f t="shared" si="14"/>
        <v>0</v>
      </c>
      <c r="H135" s="222">
        <f t="shared" si="9"/>
        <v>0</v>
      </c>
      <c r="I135" s="230"/>
      <c r="J135" s="229"/>
      <c r="K135" s="231"/>
    </row>
    <row r="136" spans="2:11" ht="12.75">
      <c r="B136" s="232" t="s">
        <v>44</v>
      </c>
      <c r="C136" s="217"/>
      <c r="D136" s="222"/>
      <c r="E136" s="222">
        <f>SUM(E16:E135)</f>
        <v>22.733679043451943</v>
      </c>
      <c r="F136" s="222">
        <f>SUM(F16:F135)</f>
        <v>75.25631683349599</v>
      </c>
      <c r="G136" s="222">
        <f>SUM(G16:G135)</f>
        <v>97.98999587694804</v>
      </c>
      <c r="H136" s="222"/>
      <c r="I136" s="222"/>
      <c r="J136" s="222">
        <f>SUM(J16:J135)</f>
        <v>22.733679043451946</v>
      </c>
      <c r="K136" s="222">
        <f>SUM(K16:K135)</f>
        <v>75.2563168334961</v>
      </c>
    </row>
    <row r="137" spans="3:11" ht="5.25" customHeight="1">
      <c r="C137" s="233"/>
      <c r="D137" s="234"/>
      <c r="E137" s="234"/>
      <c r="F137" s="234"/>
      <c r="G137" s="234"/>
      <c r="H137" s="234"/>
      <c r="J137" s="234"/>
      <c r="K137" s="234"/>
    </row>
    <row r="138" ht="12.75" hidden="1"/>
    <row r="139" ht="12.75" hidden="1"/>
    <row r="140" ht="12.75" hidden="1"/>
    <row r="141" ht="12.75" hidden="1"/>
    <row r="142" ht="12.75"/>
  </sheetData>
  <sheetProtection password="DAD4" sheet="1"/>
  <mergeCells count="10">
    <mergeCell ref="B112:B123"/>
    <mergeCell ref="B124:B135"/>
    <mergeCell ref="B16:B27"/>
    <mergeCell ref="B28:B39"/>
    <mergeCell ref="B40:B51"/>
    <mergeCell ref="B52:B63"/>
    <mergeCell ref="B64:B75"/>
    <mergeCell ref="B76:B87"/>
    <mergeCell ref="B88:B99"/>
    <mergeCell ref="B100:B111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&amp;CPartial Risk Gurantee for Energy Efficiency </oddHeader>
  </headerFooter>
  <rowBreaks count="1" manualBreakCount="1">
    <brk id="75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workbookViewId="0" topLeftCell="A1">
      <selection activeCell="H19" sqref="H19"/>
    </sheetView>
  </sheetViews>
  <sheetFormatPr defaultColWidth="0" defaultRowHeight="12.75" zeroHeight="1"/>
  <cols>
    <col min="1" max="1" width="8.140625" style="708" customWidth="1"/>
    <col min="2" max="2" width="20.7109375" style="708" customWidth="1"/>
    <col min="3" max="3" width="10.7109375" style="708" customWidth="1"/>
    <col min="4" max="13" width="12.7109375" style="722" customWidth="1"/>
    <col min="14" max="14" width="0.85546875" style="708" customWidth="1"/>
    <col min="15" max="16384" width="0" style="708" hidden="1" customWidth="1"/>
  </cols>
  <sheetData>
    <row r="1" spans="1:13" ht="12.75">
      <c r="A1" s="662" t="str">
        <f>Parameters!$C$3</f>
        <v>Darashaw &amp; Co.</v>
      </c>
      <c r="B1" s="706"/>
      <c r="C1" s="706"/>
      <c r="D1" s="665"/>
      <c r="E1" s="665"/>
      <c r="F1" s="665"/>
      <c r="G1" s="665"/>
      <c r="H1" s="665"/>
      <c r="I1" s="665"/>
      <c r="J1" s="665"/>
      <c r="K1" s="665"/>
      <c r="L1" s="665"/>
      <c r="M1" s="707"/>
    </row>
    <row r="2" spans="1:13" ht="12.75">
      <c r="A2" s="668" t="str">
        <f>Parameters!$C$4</f>
        <v>Shirdi Nagar Panchyat Street Light</v>
      </c>
      <c r="B2" s="627"/>
      <c r="C2" s="627"/>
      <c r="D2" s="709"/>
      <c r="E2" s="709"/>
      <c r="F2" s="709"/>
      <c r="G2" s="709"/>
      <c r="H2" s="709"/>
      <c r="I2" s="709"/>
      <c r="J2" s="709"/>
      <c r="K2" s="709"/>
      <c r="L2" s="709"/>
      <c r="M2" s="710"/>
    </row>
    <row r="3" spans="1:13" ht="12.75">
      <c r="A3" s="630"/>
      <c r="B3" s="627"/>
      <c r="C3" s="627"/>
      <c r="D3" s="709"/>
      <c r="E3" s="709"/>
      <c r="F3" s="709"/>
      <c r="G3" s="709"/>
      <c r="H3" s="709"/>
      <c r="I3" s="709"/>
      <c r="J3" s="709"/>
      <c r="K3" s="709"/>
      <c r="L3" s="709"/>
      <c r="M3" s="710"/>
    </row>
    <row r="4" spans="1:13" ht="12.75">
      <c r="A4" s="711" t="s">
        <v>53</v>
      </c>
      <c r="B4" s="712"/>
      <c r="C4" s="627"/>
      <c r="D4" s="709"/>
      <c r="E4" s="709"/>
      <c r="F4" s="709"/>
      <c r="G4" s="709"/>
      <c r="H4" s="709"/>
      <c r="I4" s="709"/>
      <c r="J4" s="709"/>
      <c r="K4" s="709"/>
      <c r="L4" s="709"/>
      <c r="M4" s="710"/>
    </row>
    <row r="5" spans="1:13" ht="12.75">
      <c r="A5" s="630"/>
      <c r="B5" s="636"/>
      <c r="C5" s="636"/>
      <c r="D5" s="731"/>
      <c r="E5" s="731"/>
      <c r="F5" s="731"/>
      <c r="G5" s="731"/>
      <c r="H5" s="731"/>
      <c r="I5" s="689" t="s">
        <v>127</v>
      </c>
      <c r="J5" s="741" t="str">
        <f>CONCATENATE(Parameters!C11," ",Parameters!C12)</f>
        <v>INR Lacs</v>
      </c>
      <c r="K5" s="741"/>
      <c r="L5" s="741"/>
      <c r="M5" s="737"/>
    </row>
    <row r="6" spans="1:13" ht="12.75">
      <c r="A6" s="713" t="s">
        <v>54</v>
      </c>
      <c r="B6" s="723" t="s">
        <v>55</v>
      </c>
      <c r="C6" s="626"/>
      <c r="D6" s="725">
        <f>Saving!D7</f>
        <v>1</v>
      </c>
      <c r="E6" s="725">
        <f>Saving!E7</f>
        <v>2</v>
      </c>
      <c r="F6" s="725">
        <f>Saving!F7</f>
        <v>3</v>
      </c>
      <c r="G6" s="725">
        <f>Saving!G7</f>
        <v>4</v>
      </c>
      <c r="H6" s="725">
        <f>Saving!H7</f>
        <v>5</v>
      </c>
      <c r="I6" s="725">
        <f>Saving!I7</f>
        <v>6</v>
      </c>
      <c r="J6" s="726">
        <f>Saving!J7</f>
        <v>7</v>
      </c>
      <c r="K6" s="725">
        <f>Saving!K7</f>
        <v>8</v>
      </c>
      <c r="L6" s="725">
        <f>Saving!L7</f>
        <v>9</v>
      </c>
      <c r="M6" s="734">
        <f>Saving!M7</f>
        <v>10</v>
      </c>
    </row>
    <row r="7" spans="1:13" ht="12.75">
      <c r="A7" s="714"/>
      <c r="B7" s="634"/>
      <c r="C7" s="626"/>
      <c r="D7" s="727"/>
      <c r="E7" s="727"/>
      <c r="F7" s="727"/>
      <c r="G7" s="727"/>
      <c r="H7" s="727"/>
      <c r="I7" s="727"/>
      <c r="J7" s="728"/>
      <c r="K7" s="727"/>
      <c r="L7" s="727"/>
      <c r="M7" s="735"/>
    </row>
    <row r="8" spans="1:13" ht="12.75">
      <c r="A8" s="715">
        <v>100</v>
      </c>
      <c r="B8" s="634" t="s">
        <v>169</v>
      </c>
      <c r="C8" s="716">
        <f>A8/100</f>
        <v>1</v>
      </c>
      <c r="D8" s="729">
        <f>Parameters!C7</f>
        <v>1</v>
      </c>
      <c r="E8" s="729">
        <f>Parameters!C8</f>
        <v>1</v>
      </c>
      <c r="F8" s="729">
        <f>Parameters!C9</f>
        <v>1</v>
      </c>
      <c r="G8" s="729">
        <f aca="true" t="shared" si="0" ref="G8:M8">F8*$C$8</f>
        <v>1</v>
      </c>
      <c r="H8" s="729">
        <f t="shared" si="0"/>
        <v>1</v>
      </c>
      <c r="I8" s="729">
        <f t="shared" si="0"/>
        <v>1</v>
      </c>
      <c r="J8" s="729">
        <f t="shared" si="0"/>
        <v>1</v>
      </c>
      <c r="K8" s="729">
        <f t="shared" si="0"/>
        <v>1</v>
      </c>
      <c r="L8" s="729">
        <f t="shared" si="0"/>
        <v>1</v>
      </c>
      <c r="M8" s="729">
        <f t="shared" si="0"/>
        <v>1</v>
      </c>
    </row>
    <row r="9" spans="1:13" ht="12.75">
      <c r="A9" s="715">
        <v>100</v>
      </c>
      <c r="B9" s="634" t="s">
        <v>56</v>
      </c>
      <c r="C9" s="716">
        <f>A9/100</f>
        <v>1</v>
      </c>
      <c r="D9" s="643">
        <f>Tariff!D14*C9</f>
        <v>4.92</v>
      </c>
      <c r="E9" s="643">
        <f>Tariff!D15*C9</f>
        <v>5.0676</v>
      </c>
      <c r="F9" s="643">
        <f>Tariff!D16*C9</f>
        <v>5.219628</v>
      </c>
      <c r="G9" s="643">
        <f>Tariff!D17*C9</f>
        <v>5.3762168400000006</v>
      </c>
      <c r="H9" s="643">
        <f>Tariff!D18*C9</f>
        <v>5.537503345200001</v>
      </c>
      <c r="I9" s="643">
        <f>Tariff!D19*C9</f>
        <v>5.703628445556001</v>
      </c>
      <c r="J9" s="730">
        <f>Tariff!D20*C9</f>
        <v>5.874737298922681</v>
      </c>
      <c r="K9" s="643">
        <f>Tariff!D21*C9</f>
        <v>6.050979417890361</v>
      </c>
      <c r="L9" s="643">
        <f>Tariff!D22*C9</f>
        <v>6.232508800427072</v>
      </c>
      <c r="M9" s="736">
        <f>Tariff!D23*C9</f>
        <v>6.419484064439884</v>
      </c>
    </row>
    <row r="10" spans="1:13" ht="12.75">
      <c r="A10" s="717"/>
      <c r="B10" s="634"/>
      <c r="C10" s="626"/>
      <c r="D10" s="727"/>
      <c r="E10" s="727"/>
      <c r="F10" s="727"/>
      <c r="G10" s="727"/>
      <c r="H10" s="727"/>
      <c r="I10" s="727"/>
      <c r="J10" s="728"/>
      <c r="K10" s="727"/>
      <c r="L10" s="727"/>
      <c r="M10" s="735"/>
    </row>
    <row r="11" spans="1:13" ht="12.75">
      <c r="A11" s="630"/>
      <c r="B11" s="636"/>
      <c r="C11" s="627"/>
      <c r="D11" s="731"/>
      <c r="E11" s="731"/>
      <c r="F11" s="731"/>
      <c r="G11" s="731"/>
      <c r="H11" s="731"/>
      <c r="I11" s="731"/>
      <c r="J11" s="731"/>
      <c r="K11" s="727"/>
      <c r="L11" s="727"/>
      <c r="M11" s="737"/>
    </row>
    <row r="12" spans="1:13" ht="12.75">
      <c r="A12" s="717"/>
      <c r="B12" s="724" t="s">
        <v>67</v>
      </c>
      <c r="C12" s="626"/>
      <c r="D12" s="727"/>
      <c r="E12" s="727"/>
      <c r="F12" s="727"/>
      <c r="G12" s="727"/>
      <c r="H12" s="727"/>
      <c r="I12" s="727"/>
      <c r="J12" s="728"/>
      <c r="K12" s="727"/>
      <c r="L12" s="729"/>
      <c r="M12" s="735"/>
    </row>
    <row r="13" spans="1:13" ht="12.75">
      <c r="A13" s="717"/>
      <c r="B13" s="634" t="s">
        <v>68</v>
      </c>
      <c r="C13" s="626"/>
      <c r="D13" s="732">
        <f>'P&amp;L'!C8</f>
        <v>50.4525805272</v>
      </c>
      <c r="E13" s="732">
        <f>'P&amp;L'!D8</f>
        <v>53.856157943016</v>
      </c>
      <c r="F13" s="732">
        <f>'P&amp;L'!E8</f>
        <v>57.55084268130649</v>
      </c>
      <c r="G13" s="732">
        <f>'P&amp;L'!F8</f>
        <v>61.564267961745685</v>
      </c>
      <c r="H13" s="732">
        <f>'P&amp;L'!G8</f>
        <v>65.92678600059807</v>
      </c>
      <c r="I13" s="732">
        <f>'P&amp;L'!H8</f>
        <v>70.67173858061602</v>
      </c>
      <c r="J13" s="733">
        <f>'P&amp;L'!I8</f>
        <v>75.8357546380345</v>
      </c>
      <c r="K13" s="732">
        <f>'P&amp;L'!J8</f>
        <v>81.45907756717556</v>
      </c>
      <c r="L13" s="732">
        <f>'P&amp;L'!K8</f>
        <v>87.58592521319083</v>
      </c>
      <c r="M13" s="738">
        <f>'P&amp;L'!L8</f>
        <v>94.26488582048654</v>
      </c>
    </row>
    <row r="14" spans="1:13" ht="12.75">
      <c r="A14" s="717"/>
      <c r="B14" s="634" t="s">
        <v>31</v>
      </c>
      <c r="C14" s="626"/>
      <c r="D14" s="732">
        <f>'P&amp;L'!C20</f>
        <v>27.93690454585593</v>
      </c>
      <c r="E14" s="732">
        <f>'P&amp;L'!D20</f>
        <v>23.333134054390797</v>
      </c>
      <c r="F14" s="732">
        <f>'P&amp;L'!E20</f>
        <v>24.398264880898516</v>
      </c>
      <c r="G14" s="732">
        <f>'P&amp;L'!F20</f>
        <v>25.528069455601496</v>
      </c>
      <c r="H14" s="732">
        <f>'P&amp;L'!G20</f>
        <v>26.727790853678457</v>
      </c>
      <c r="I14" s="732">
        <f>'P&amp;L'!H20</f>
        <v>28.003161978585005</v>
      </c>
      <c r="J14" s="733">
        <f>'P&amp;L'!I20</f>
        <v>29.360453630048895</v>
      </c>
      <c r="K14" s="732">
        <f>'P&amp;L'!J20</f>
        <v>30.806527357467544</v>
      </c>
      <c r="L14" s="732">
        <f>'P&amp;L'!K20</f>
        <v>32.348893576909305</v>
      </c>
      <c r="M14" s="738">
        <f>'P&amp;L'!L20</f>
        <v>33.99577547774507</v>
      </c>
    </row>
    <row r="15" spans="1:13" ht="12.75">
      <c r="A15" s="717"/>
      <c r="B15" s="634" t="s">
        <v>70</v>
      </c>
      <c r="C15" s="626"/>
      <c r="D15" s="732">
        <f>'P&amp;L'!C28</f>
        <v>16.74353219030446</v>
      </c>
      <c r="E15" s="732">
        <f>'P&amp;L'!D28</f>
        <v>10.14151329688294</v>
      </c>
      <c r="F15" s="732">
        <f>'P&amp;L'!E28</f>
        <v>13.187073513745819</v>
      </c>
      <c r="G15" s="732">
        <f>'P&amp;L'!F28</f>
        <v>16.29730747880396</v>
      </c>
      <c r="H15" s="732">
        <f>'P&amp;L'!G28</f>
        <v>19.47745826723608</v>
      </c>
      <c r="I15" s="732">
        <f>'P&amp;L'!H28</f>
        <v>21.825561978585007</v>
      </c>
      <c r="J15" s="733">
        <f>'P&amp;L'!I28</f>
        <v>23.182853630048896</v>
      </c>
      <c r="K15" s="732">
        <f>'P&amp;L'!J28</f>
        <v>24.628927357467546</v>
      </c>
      <c r="L15" s="732">
        <f>'P&amp;L'!K28</f>
        <v>26.171293576909306</v>
      </c>
      <c r="M15" s="738">
        <f>'P&amp;L'!L28</f>
        <v>27.818175477745072</v>
      </c>
    </row>
    <row r="16" spans="1:13" ht="12.75">
      <c r="A16" s="717"/>
      <c r="B16" s="634" t="s">
        <v>69</v>
      </c>
      <c r="C16" s="626"/>
      <c r="D16" s="732">
        <f>'P&amp;L'!C32</f>
        <v>13.393528128498819</v>
      </c>
      <c r="E16" s="732">
        <f>'P&amp;L'!D32</f>
        <v>8.112424670225842</v>
      </c>
      <c r="F16" s="732">
        <f>'P&amp;L'!E32</f>
        <v>10.548636812799339</v>
      </c>
      <c r="G16" s="732">
        <f>'P&amp;L'!F32</f>
        <v>12.911937974123209</v>
      </c>
      <c r="H16" s="732">
        <f>'P&amp;L'!G32</f>
        <v>14.461404878277456</v>
      </c>
      <c r="I16" s="732">
        <f>'P&amp;L'!H32</f>
        <v>15.111250846098121</v>
      </c>
      <c r="J16" s="733">
        <f>'P&amp;L'!I32</f>
        <v>15.664646666778964</v>
      </c>
      <c r="K16" s="732">
        <f>'P&amp;L'!J32</f>
        <v>14.6337495563372</v>
      </c>
      <c r="L16" s="732">
        <f>'P&amp;L'!K32</f>
        <v>15.675695055881082</v>
      </c>
      <c r="M16" s="738">
        <f>'P&amp;L'!L32</f>
        <v>16.78824612399068</v>
      </c>
    </row>
    <row r="17" spans="1:13" ht="12.75">
      <c r="A17" s="630"/>
      <c r="B17" s="636"/>
      <c r="C17" s="627"/>
      <c r="D17" s="731"/>
      <c r="E17" s="731"/>
      <c r="F17" s="731"/>
      <c r="G17" s="731"/>
      <c r="H17" s="731"/>
      <c r="I17" s="731"/>
      <c r="J17" s="731"/>
      <c r="K17" s="727"/>
      <c r="L17" s="727"/>
      <c r="M17" s="737"/>
    </row>
    <row r="18" spans="1:13" ht="12.75">
      <c r="A18" s="717"/>
      <c r="B18" s="634" t="s">
        <v>71</v>
      </c>
      <c r="C18" s="740">
        <f>DSCR!C16</f>
        <v>1.1525490063862969</v>
      </c>
      <c r="D18" s="732">
        <f>DSCR!C15</f>
        <v>1.33314729203787</v>
      </c>
      <c r="E18" s="732">
        <f>DSCR!D15</f>
        <v>0.9320392234049578</v>
      </c>
      <c r="F18" s="732">
        <f>DSCR!E15</f>
        <v>1.0422857963216727</v>
      </c>
      <c r="G18" s="732">
        <f>DSCR!F15</f>
        <v>1.1717824026286705</v>
      </c>
      <c r="H18" s="732">
        <f>DSCR!G15</f>
        <v>1.283490317538312</v>
      </c>
      <c r="I18" s="732">
        <f>DSCR!H15</f>
        <v>0</v>
      </c>
      <c r="J18" s="733">
        <f>DSCR!I15</f>
      </c>
      <c r="K18" s="732">
        <f>DSCR!J15</f>
      </c>
      <c r="L18" s="732">
        <f>DSCR!K15</f>
      </c>
      <c r="M18" s="738">
        <f>DSCR!L15</f>
      </c>
    </row>
    <row r="19" spans="1:13" ht="12.75">
      <c r="A19" s="717"/>
      <c r="B19" s="634" t="s">
        <v>72</v>
      </c>
      <c r="C19" s="740">
        <f>DSCR!C28</f>
        <v>1.1964632809137095</v>
      </c>
      <c r="D19" s="732">
        <f>DSCR!C27</f>
        <v>1.5170723595171105</v>
      </c>
      <c r="E19" s="732">
        <f>DSCR!D27</f>
        <v>0.9019524212665275</v>
      </c>
      <c r="F19" s="732">
        <f>DSCR!E27</f>
        <v>1.0557203461947042</v>
      </c>
      <c r="G19" s="732">
        <f>DSCR!F27</f>
        <v>1.2048863031352373</v>
      </c>
      <c r="H19" s="732">
        <f>DSCR!G27</f>
        <v>1.3026849744549687</v>
      </c>
      <c r="I19" s="732">
        <f>DSCR!H27</f>
        <v>0</v>
      </c>
      <c r="J19" s="733">
        <f>DSCR!I27</f>
      </c>
      <c r="K19" s="732">
        <f>DSCR!J27</f>
      </c>
      <c r="L19" s="732">
        <f>DSCR!K27</f>
      </c>
      <c r="M19" s="738">
        <f>DSCR!L27</f>
      </c>
    </row>
    <row r="20" spans="1:13" ht="12.75">
      <c r="A20" s="630"/>
      <c r="B20" s="636"/>
      <c r="C20" s="627"/>
      <c r="D20" s="709"/>
      <c r="E20" s="709"/>
      <c r="F20" s="709"/>
      <c r="G20" s="709"/>
      <c r="H20" s="709"/>
      <c r="I20" s="709"/>
      <c r="J20" s="709"/>
      <c r="K20" s="709"/>
      <c r="L20" s="709"/>
      <c r="M20" s="710"/>
    </row>
    <row r="21" spans="1:13" ht="12.75">
      <c r="A21" s="630"/>
      <c r="B21" s="634" t="s">
        <v>79</v>
      </c>
      <c r="C21" s="739">
        <f>IRR!A9</f>
        <v>0.14642656498615692</v>
      </c>
      <c r="D21" s="709"/>
      <c r="E21" s="709"/>
      <c r="F21" s="709"/>
      <c r="G21" s="709"/>
      <c r="H21" s="709"/>
      <c r="I21" s="709"/>
      <c r="J21" s="709"/>
      <c r="K21" s="709"/>
      <c r="L21" s="709"/>
      <c r="M21" s="710"/>
    </row>
    <row r="22" spans="1:13" ht="13.5" thickBot="1">
      <c r="A22" s="718"/>
      <c r="B22" s="719"/>
      <c r="C22" s="719"/>
      <c r="D22" s="720"/>
      <c r="E22" s="720"/>
      <c r="F22" s="720"/>
      <c r="G22" s="720"/>
      <c r="H22" s="720"/>
      <c r="I22" s="720"/>
      <c r="J22" s="720"/>
      <c r="K22" s="720"/>
      <c r="L22" s="720"/>
      <c r="M22" s="721"/>
    </row>
    <row r="23" ht="33" customHeight="1"/>
    <row r="24" ht="12.75"/>
    <row r="25" ht="12.75"/>
    <row r="26" ht="12.75"/>
  </sheetData>
  <sheetProtection password="DAD4" sheet="1"/>
  <mergeCells count="1">
    <mergeCell ref="A4:B4"/>
  </mergeCells>
  <printOptions/>
  <pageMargins left="0.7" right="0.7" top="0.75" bottom="0.75" header="0.3" footer="0.3"/>
  <pageSetup horizontalDpi="600" verticalDpi="600" orientation="portrait" paperSize="9" r:id="rId2"/>
  <headerFooter>
    <oddHeader xml:space="preserve">&amp;CPartial Risk Gurantee for Energy Efficiency </oddHeader>
  </headerFooter>
  <ignoredErrors>
    <ignoredError sqref="J8 D8 F8 G8 H8 I8 C8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L29"/>
  <sheetViews>
    <sheetView zoomScale="97" zoomScaleNormal="97" workbookViewId="0" topLeftCell="A1">
      <selection activeCell="I23" sqref="I23"/>
    </sheetView>
  </sheetViews>
  <sheetFormatPr defaultColWidth="0" defaultRowHeight="12.75" zeroHeight="1"/>
  <cols>
    <col min="1" max="1" width="6.57421875" style="184" customWidth="1"/>
    <col min="2" max="2" width="26.28125" style="184" customWidth="1"/>
    <col min="3" max="3" width="13.7109375" style="183" customWidth="1"/>
    <col min="4" max="7" width="14.28125" style="183" customWidth="1"/>
    <col min="8" max="8" width="18.00390625" style="183" customWidth="1"/>
    <col min="9" max="12" width="14.28125" style="183" customWidth="1"/>
    <col min="13" max="13" width="12.7109375" style="183" customWidth="1"/>
    <col min="14" max="16384" width="0" style="184" hidden="1" customWidth="1"/>
  </cols>
  <sheetData>
    <row r="1" spans="1:12" ht="12.75">
      <c r="A1" s="179" t="str">
        <f>Parameters!$C$3</f>
        <v>Darashaw &amp; Co.</v>
      </c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ht="12.75">
      <c r="A2" s="185" t="str">
        <f>Parameters!$C$4</f>
        <v>Shirdi Nagar Panchyat Street Light</v>
      </c>
      <c r="B2" s="23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12.75">
      <c r="A3" s="188"/>
      <c r="B3" s="23"/>
      <c r="C3" s="186"/>
      <c r="D3" s="186"/>
      <c r="E3" s="186"/>
      <c r="F3" s="186"/>
      <c r="G3" s="186"/>
      <c r="H3" s="189" t="s">
        <v>127</v>
      </c>
      <c r="I3" s="190" t="str">
        <f>CONCATENATE(Parameters!C11," ",Parameters!C12)</f>
        <v>INR Lacs</v>
      </c>
      <c r="J3" s="190"/>
      <c r="K3" s="190"/>
      <c r="L3" s="191"/>
    </row>
    <row r="4" spans="1:12" ht="12.75">
      <c r="A4" s="205" t="s">
        <v>57</v>
      </c>
      <c r="B4" s="192"/>
      <c r="C4" s="171">
        <v>1</v>
      </c>
      <c r="D4" s="171">
        <f>Saving!E7</f>
        <v>2</v>
      </c>
      <c r="E4" s="171">
        <f>Saving!F7</f>
        <v>3</v>
      </c>
      <c r="F4" s="171">
        <f>Saving!G7</f>
        <v>4</v>
      </c>
      <c r="G4" s="171">
        <f>Saving!H7</f>
        <v>5</v>
      </c>
      <c r="H4" s="171">
        <f>Saving!I7</f>
        <v>6</v>
      </c>
      <c r="I4" s="171">
        <f>Saving!J7</f>
        <v>7</v>
      </c>
      <c r="J4" s="171">
        <f>Saving!K7</f>
        <v>8</v>
      </c>
      <c r="K4" s="171">
        <f>Saving!L7</f>
        <v>9</v>
      </c>
      <c r="L4" s="171">
        <f>Saving!M7</f>
        <v>10</v>
      </c>
    </row>
    <row r="5" spans="1:12" ht="12.75">
      <c r="A5" s="206" t="s">
        <v>58</v>
      </c>
      <c r="B5" s="194" t="s">
        <v>11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2.75">
      <c r="A6" s="206" t="s">
        <v>17</v>
      </c>
      <c r="B6" s="192" t="s">
        <v>39</v>
      </c>
      <c r="C6" s="196">
        <f>'P&amp;L'!C32</f>
        <v>13.393528128498819</v>
      </c>
      <c r="D6" s="196">
        <f>'P&amp;L'!D32</f>
        <v>8.112424670225842</v>
      </c>
      <c r="E6" s="196">
        <f>'P&amp;L'!E32</f>
        <v>10.548636812799339</v>
      </c>
      <c r="F6" s="196">
        <f>'P&amp;L'!F32</f>
        <v>12.911937974123209</v>
      </c>
      <c r="G6" s="196">
        <f>'P&amp;L'!G32</f>
        <v>14.461404878277456</v>
      </c>
      <c r="H6" s="196">
        <f>'P&amp;L'!H32</f>
        <v>15.111250846098121</v>
      </c>
      <c r="I6" s="196">
        <f>'P&amp;L'!I32</f>
        <v>15.664646666778964</v>
      </c>
      <c r="J6" s="196">
        <f>'P&amp;L'!J32</f>
        <v>14.6337495563372</v>
      </c>
      <c r="K6" s="196">
        <f>'P&amp;L'!K32</f>
        <v>15.675695055881082</v>
      </c>
      <c r="L6" s="196">
        <f>'P&amp;L'!L32</f>
        <v>16.78824612399068</v>
      </c>
    </row>
    <row r="7" spans="1:12" ht="12.75">
      <c r="A7" s="206" t="s">
        <v>19</v>
      </c>
      <c r="B7" s="192" t="s">
        <v>32</v>
      </c>
      <c r="C7" s="196">
        <f>'P&amp;L'!C22</f>
        <v>4.6332</v>
      </c>
      <c r="D7" s="196">
        <f>'P&amp;L'!D22</f>
        <v>6.1776</v>
      </c>
      <c r="E7" s="196">
        <f>'P&amp;L'!E22</f>
        <v>6.1776</v>
      </c>
      <c r="F7" s="196">
        <f>'P&amp;L'!F22</f>
        <v>6.1776</v>
      </c>
      <c r="G7" s="196">
        <f>'P&amp;L'!G22</f>
        <v>6.1776</v>
      </c>
      <c r="H7" s="196">
        <f>'P&amp;L'!H22</f>
        <v>6.1776</v>
      </c>
      <c r="I7" s="196">
        <f>'P&amp;L'!I22</f>
        <v>6.1776</v>
      </c>
      <c r="J7" s="196">
        <f>'P&amp;L'!J22</f>
        <v>6.1776</v>
      </c>
      <c r="K7" s="196">
        <f>'P&amp;L'!K22</f>
        <v>6.1776</v>
      </c>
      <c r="L7" s="196">
        <f>'P&amp;L'!L22</f>
        <v>6.1776</v>
      </c>
    </row>
    <row r="8" spans="1:12" ht="12.75">
      <c r="A8" s="206" t="s">
        <v>30</v>
      </c>
      <c r="B8" s="192" t="s">
        <v>103</v>
      </c>
      <c r="C8" s="196">
        <f>'P&amp;L'!C27</f>
        <v>6.560172355551469</v>
      </c>
      <c r="D8" s="196">
        <f>'P&amp;L'!D27</f>
        <v>7.0140207575078595</v>
      </c>
      <c r="E8" s="196">
        <f>'P&amp;L'!E27</f>
        <v>5.0335913671527</v>
      </c>
      <c r="F8" s="196">
        <f>'P&amp;L'!F27</f>
        <v>3.053161976797539</v>
      </c>
      <c r="G8" s="196">
        <f>'P&amp;L'!G27</f>
        <v>1.0727325864423787</v>
      </c>
      <c r="H8" s="196">
        <f>'P&amp;L'!H27</f>
        <v>0</v>
      </c>
      <c r="I8" s="196">
        <f>'P&amp;L'!I27</f>
        <v>0</v>
      </c>
      <c r="J8" s="196">
        <f>'P&amp;L'!J27</f>
        <v>0</v>
      </c>
      <c r="K8" s="196">
        <f>'P&amp;L'!K27</f>
        <v>0</v>
      </c>
      <c r="L8" s="196">
        <f>'P&amp;L'!L27</f>
        <v>0</v>
      </c>
    </row>
    <row r="9" spans="1:12" ht="12.75">
      <c r="A9" s="206"/>
      <c r="B9" s="194" t="s">
        <v>59</v>
      </c>
      <c r="C9" s="197">
        <f aca="true" t="shared" si="0" ref="C9:I9">SUM(C6:C8)</f>
        <v>24.586900484050286</v>
      </c>
      <c r="D9" s="197">
        <f t="shared" si="0"/>
        <v>21.3040454277337</v>
      </c>
      <c r="E9" s="197">
        <f t="shared" si="0"/>
        <v>21.759828179952038</v>
      </c>
      <c r="F9" s="197">
        <f t="shared" si="0"/>
        <v>22.14269995092075</v>
      </c>
      <c r="G9" s="197">
        <f t="shared" si="0"/>
        <v>21.711737464719832</v>
      </c>
      <c r="H9" s="197">
        <f t="shared" si="0"/>
        <v>21.28885084609812</v>
      </c>
      <c r="I9" s="197">
        <f t="shared" si="0"/>
        <v>21.842246666778962</v>
      </c>
      <c r="J9" s="197">
        <f>SUM(J6:J8)</f>
        <v>20.8113495563372</v>
      </c>
      <c r="K9" s="197">
        <f>SUM(K6:K8)</f>
        <v>21.853295055881084</v>
      </c>
      <c r="L9" s="197">
        <f>SUM(L6:L8)</f>
        <v>22.96584612399068</v>
      </c>
    </row>
    <row r="10" spans="1:12" ht="12.75">
      <c r="A10" s="206"/>
      <c r="B10" s="192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ht="12.75">
      <c r="A11" s="206" t="s">
        <v>33</v>
      </c>
      <c r="B11" s="192" t="s">
        <v>103</v>
      </c>
      <c r="C11" s="196">
        <f>C8</f>
        <v>6.560172355551469</v>
      </c>
      <c r="D11" s="196">
        <f aca="true" t="shared" si="1" ref="D11:I11">D8</f>
        <v>7.0140207575078595</v>
      </c>
      <c r="E11" s="196">
        <f t="shared" si="1"/>
        <v>5.0335913671527</v>
      </c>
      <c r="F11" s="196">
        <f t="shared" si="1"/>
        <v>3.053161976797539</v>
      </c>
      <c r="G11" s="196">
        <f t="shared" si="1"/>
        <v>1.0727325864423787</v>
      </c>
      <c r="H11" s="196">
        <f t="shared" si="1"/>
        <v>0</v>
      </c>
      <c r="I11" s="196">
        <f t="shared" si="1"/>
        <v>0</v>
      </c>
      <c r="J11" s="196">
        <f>J8</f>
        <v>0</v>
      </c>
      <c r="K11" s="196">
        <f>K8</f>
        <v>0</v>
      </c>
      <c r="L11" s="196">
        <f>L8</f>
        <v>0</v>
      </c>
    </row>
    <row r="12" spans="1:12" ht="12.75">
      <c r="A12" s="206" t="s">
        <v>36</v>
      </c>
      <c r="B12" s="192" t="s">
        <v>60</v>
      </c>
      <c r="C12" s="196">
        <f>Interest!K16</f>
        <v>11.882576342130964</v>
      </c>
      <c r="D12" s="196">
        <f>Interest!K28</f>
        <v>15.843435122841285</v>
      </c>
      <c r="E12" s="196">
        <f>Interest!K40</f>
        <v>15.843435122841285</v>
      </c>
      <c r="F12" s="196">
        <f>Interest!K52</f>
        <v>15.843435122841285</v>
      </c>
      <c r="G12" s="196">
        <f>Interest!K64</f>
        <v>15.843435122841285</v>
      </c>
      <c r="H12" s="196">
        <f>Interest!K76</f>
        <v>0</v>
      </c>
      <c r="I12" s="196">
        <f>Interest!K88</f>
        <v>0</v>
      </c>
      <c r="J12" s="196">
        <f>Interest!K100</f>
        <v>0</v>
      </c>
      <c r="K12" s="196">
        <f>Interest!K112</f>
        <v>0</v>
      </c>
      <c r="L12" s="196">
        <f>Interest!K124</f>
        <v>0</v>
      </c>
    </row>
    <row r="13" spans="1:12" ht="12.75">
      <c r="A13" s="206"/>
      <c r="B13" s="194" t="s">
        <v>59</v>
      </c>
      <c r="C13" s="197">
        <f aca="true" t="shared" si="2" ref="C13:I13">SUM(C11:C12)</f>
        <v>18.442748697682433</v>
      </c>
      <c r="D13" s="197">
        <f t="shared" si="2"/>
        <v>22.857455880349143</v>
      </c>
      <c r="E13" s="197">
        <f t="shared" si="2"/>
        <v>20.877026489993984</v>
      </c>
      <c r="F13" s="197">
        <f t="shared" si="2"/>
        <v>18.896597099638825</v>
      </c>
      <c r="G13" s="197">
        <f t="shared" si="2"/>
        <v>16.916167709283663</v>
      </c>
      <c r="H13" s="197">
        <f t="shared" si="2"/>
        <v>0</v>
      </c>
      <c r="I13" s="197">
        <f t="shared" si="2"/>
        <v>0</v>
      </c>
      <c r="J13" s="197">
        <f>SUM(J11:J12)</f>
        <v>0</v>
      </c>
      <c r="K13" s="197">
        <f>SUM(K11:K12)</f>
        <v>0</v>
      </c>
      <c r="L13" s="197">
        <f>SUM(L11:L12)</f>
        <v>0</v>
      </c>
    </row>
    <row r="14" spans="1:12" ht="12.75">
      <c r="A14" s="206"/>
      <c r="B14" s="192"/>
      <c r="C14" s="195"/>
      <c r="D14" s="195"/>
      <c r="E14" s="195"/>
      <c r="F14" s="195"/>
      <c r="G14" s="195"/>
      <c r="H14" s="198"/>
      <c r="I14" s="195"/>
      <c r="J14" s="195"/>
      <c r="K14" s="195"/>
      <c r="L14" s="195"/>
    </row>
    <row r="15" spans="1:12" ht="12.75">
      <c r="A15" s="206"/>
      <c r="B15" s="194" t="s">
        <v>61</v>
      </c>
      <c r="C15" s="198">
        <f>IF(C12=0,"",(C9/C13))</f>
        <v>1.33314729203787</v>
      </c>
      <c r="D15" s="198">
        <f>IF(D12=0,"",(D9/D13))</f>
        <v>0.9320392234049578</v>
      </c>
      <c r="E15" s="198">
        <f aca="true" t="shared" si="3" ref="E15:K15">IF(E12=0,"",(E9/E13))</f>
        <v>1.0422857963216727</v>
      </c>
      <c r="F15" s="198">
        <f t="shared" si="3"/>
        <v>1.1717824026286705</v>
      </c>
      <c r="G15" s="198">
        <f t="shared" si="3"/>
        <v>1.283490317538312</v>
      </c>
      <c r="H15" s="198">
        <v>0</v>
      </c>
      <c r="I15" s="198">
        <f t="shared" si="3"/>
      </c>
      <c r="J15" s="198">
        <f t="shared" si="3"/>
      </c>
      <c r="K15" s="198">
        <f t="shared" si="3"/>
      </c>
      <c r="L15" s="198">
        <f>IF(L12=0,"",(L9/L13))</f>
      </c>
    </row>
    <row r="16" spans="1:12" ht="12.75">
      <c r="A16" s="206"/>
      <c r="B16" s="194" t="s">
        <v>62</v>
      </c>
      <c r="C16" s="197">
        <f>AVERAGE(C15:G15)</f>
        <v>1.1525490063862969</v>
      </c>
      <c r="D16" s="196"/>
      <c r="E16" s="195"/>
      <c r="F16" s="195"/>
      <c r="G16" s="195"/>
      <c r="H16" s="195"/>
      <c r="I16" s="195"/>
      <c r="J16" s="195"/>
      <c r="K16" s="195"/>
      <c r="L16" s="195"/>
    </row>
    <row r="17" spans="1:12" ht="12.75">
      <c r="A17" s="590"/>
      <c r="B17" s="591"/>
      <c r="C17" s="591"/>
      <c r="D17" s="591"/>
      <c r="E17" s="591"/>
      <c r="F17" s="591"/>
      <c r="G17" s="591"/>
      <c r="H17" s="591"/>
      <c r="I17" s="591"/>
      <c r="J17" s="591"/>
      <c r="K17" s="591"/>
      <c r="L17" s="586"/>
    </row>
    <row r="18" spans="1:12" ht="12.75">
      <c r="A18" s="207" t="s">
        <v>63</v>
      </c>
      <c r="B18" s="192"/>
      <c r="C18" s="200">
        <f>C4</f>
        <v>1</v>
      </c>
      <c r="D18" s="200">
        <f aca="true" t="shared" si="4" ref="D18:L18">D4</f>
        <v>2</v>
      </c>
      <c r="E18" s="200">
        <f t="shared" si="4"/>
        <v>3</v>
      </c>
      <c r="F18" s="200">
        <f t="shared" si="4"/>
        <v>4</v>
      </c>
      <c r="G18" s="200">
        <f t="shared" si="4"/>
        <v>5</v>
      </c>
      <c r="H18" s="200">
        <f t="shared" si="4"/>
        <v>6</v>
      </c>
      <c r="I18" s="200">
        <f t="shared" si="4"/>
        <v>7</v>
      </c>
      <c r="J18" s="200">
        <f t="shared" si="4"/>
        <v>8</v>
      </c>
      <c r="K18" s="200">
        <f t="shared" si="4"/>
        <v>9</v>
      </c>
      <c r="L18" s="200">
        <f t="shared" si="4"/>
        <v>10</v>
      </c>
    </row>
    <row r="19" spans="1:12" ht="12.75">
      <c r="A19" s="206" t="s">
        <v>58</v>
      </c>
      <c r="B19" s="194" t="s">
        <v>11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12.75">
      <c r="A20" s="206" t="s">
        <v>17</v>
      </c>
      <c r="B20" s="192" t="s">
        <v>39</v>
      </c>
      <c r="C20" s="196">
        <f>C6</f>
        <v>13.393528128498819</v>
      </c>
      <c r="D20" s="196">
        <f aca="true" t="shared" si="5" ref="D20:I21">D6</f>
        <v>8.112424670225842</v>
      </c>
      <c r="E20" s="196">
        <f t="shared" si="5"/>
        <v>10.548636812799339</v>
      </c>
      <c r="F20" s="196">
        <f t="shared" si="5"/>
        <v>12.911937974123209</v>
      </c>
      <c r="G20" s="196">
        <f t="shared" si="5"/>
        <v>14.461404878277456</v>
      </c>
      <c r="H20" s="196">
        <f t="shared" si="5"/>
        <v>15.111250846098121</v>
      </c>
      <c r="I20" s="196">
        <f t="shared" si="5"/>
        <v>15.664646666778964</v>
      </c>
      <c r="J20" s="196">
        <f aca="true" t="shared" si="6" ref="J20:L21">J6</f>
        <v>14.6337495563372</v>
      </c>
      <c r="K20" s="196">
        <f t="shared" si="6"/>
        <v>15.675695055881082</v>
      </c>
      <c r="L20" s="196">
        <f t="shared" si="6"/>
        <v>16.78824612399068</v>
      </c>
    </row>
    <row r="21" spans="1:12" ht="12.75">
      <c r="A21" s="206" t="s">
        <v>19</v>
      </c>
      <c r="B21" s="192" t="s">
        <v>32</v>
      </c>
      <c r="C21" s="196">
        <f>C7</f>
        <v>4.6332</v>
      </c>
      <c r="D21" s="196">
        <f t="shared" si="5"/>
        <v>6.1776</v>
      </c>
      <c r="E21" s="196">
        <f t="shared" si="5"/>
        <v>6.1776</v>
      </c>
      <c r="F21" s="196">
        <f t="shared" si="5"/>
        <v>6.1776</v>
      </c>
      <c r="G21" s="196">
        <f t="shared" si="5"/>
        <v>6.1776</v>
      </c>
      <c r="H21" s="196">
        <f t="shared" si="5"/>
        <v>6.1776</v>
      </c>
      <c r="I21" s="196">
        <f t="shared" si="5"/>
        <v>6.1776</v>
      </c>
      <c r="J21" s="196">
        <f t="shared" si="6"/>
        <v>6.1776</v>
      </c>
      <c r="K21" s="196">
        <f t="shared" si="6"/>
        <v>6.1776</v>
      </c>
      <c r="L21" s="196">
        <f t="shared" si="6"/>
        <v>6.1776</v>
      </c>
    </row>
    <row r="22" spans="1:12" ht="12.75">
      <c r="A22" s="206"/>
      <c r="B22" s="194" t="s">
        <v>59</v>
      </c>
      <c r="C22" s="197">
        <f aca="true" t="shared" si="7" ref="C22:I22">SUM(C20:C21)</f>
        <v>18.026728128498817</v>
      </c>
      <c r="D22" s="197">
        <f t="shared" si="7"/>
        <v>14.290024670225842</v>
      </c>
      <c r="E22" s="197">
        <f t="shared" si="7"/>
        <v>16.72623681279934</v>
      </c>
      <c r="F22" s="197">
        <f t="shared" si="7"/>
        <v>19.08953797412321</v>
      </c>
      <c r="G22" s="197">
        <f t="shared" si="7"/>
        <v>20.639004878277454</v>
      </c>
      <c r="H22" s="197">
        <f t="shared" si="7"/>
        <v>21.28885084609812</v>
      </c>
      <c r="I22" s="197">
        <f t="shared" si="7"/>
        <v>21.842246666778962</v>
      </c>
      <c r="J22" s="197">
        <f>SUM(J20:J21)</f>
        <v>20.8113495563372</v>
      </c>
      <c r="K22" s="197">
        <f>SUM(K20:K21)</f>
        <v>21.853295055881084</v>
      </c>
      <c r="L22" s="197">
        <f>SUM(L20:L21)</f>
        <v>22.96584612399068</v>
      </c>
    </row>
    <row r="23" spans="1:12" ht="12.75">
      <c r="A23" s="206"/>
      <c r="B23" s="192"/>
      <c r="C23" s="196"/>
      <c r="D23" s="196"/>
      <c r="E23" s="196"/>
      <c r="F23" s="196"/>
      <c r="G23" s="196"/>
      <c r="H23" s="196"/>
      <c r="I23" s="196"/>
      <c r="J23" s="196"/>
      <c r="K23" s="196"/>
      <c r="L23" s="196"/>
    </row>
    <row r="24" spans="1:12" ht="12.75">
      <c r="A24" s="206" t="s">
        <v>30</v>
      </c>
      <c r="B24" s="192" t="s">
        <v>60</v>
      </c>
      <c r="C24" s="196">
        <f>C12</f>
        <v>11.882576342130964</v>
      </c>
      <c r="D24" s="196">
        <f aca="true" t="shared" si="8" ref="D24:I24">D12</f>
        <v>15.843435122841285</v>
      </c>
      <c r="E24" s="196">
        <f t="shared" si="8"/>
        <v>15.843435122841285</v>
      </c>
      <c r="F24" s="196">
        <f t="shared" si="8"/>
        <v>15.843435122841285</v>
      </c>
      <c r="G24" s="196">
        <f t="shared" si="8"/>
        <v>15.843435122841285</v>
      </c>
      <c r="H24" s="196">
        <f t="shared" si="8"/>
        <v>0</v>
      </c>
      <c r="I24" s="196">
        <f t="shared" si="8"/>
        <v>0</v>
      </c>
      <c r="J24" s="196">
        <f>J12</f>
        <v>0</v>
      </c>
      <c r="K24" s="196">
        <f>K12</f>
        <v>0</v>
      </c>
      <c r="L24" s="196">
        <f>L12</f>
        <v>0</v>
      </c>
    </row>
    <row r="25" spans="1:12" ht="12.75">
      <c r="A25" s="206"/>
      <c r="B25" s="194" t="s">
        <v>59</v>
      </c>
      <c r="C25" s="197">
        <f aca="true" t="shared" si="9" ref="C25:I25">SUM(C24:C24)</f>
        <v>11.882576342130964</v>
      </c>
      <c r="D25" s="197">
        <f t="shared" si="9"/>
        <v>15.843435122841285</v>
      </c>
      <c r="E25" s="197">
        <f t="shared" si="9"/>
        <v>15.843435122841285</v>
      </c>
      <c r="F25" s="197">
        <f t="shared" si="9"/>
        <v>15.843435122841285</v>
      </c>
      <c r="G25" s="197">
        <f t="shared" si="9"/>
        <v>15.843435122841285</v>
      </c>
      <c r="H25" s="197">
        <f t="shared" si="9"/>
        <v>0</v>
      </c>
      <c r="I25" s="197">
        <f t="shared" si="9"/>
        <v>0</v>
      </c>
      <c r="J25" s="197">
        <f>SUM(J24:J24)</f>
        <v>0</v>
      </c>
      <c r="K25" s="197">
        <f>SUM(K24:K24)</f>
        <v>0</v>
      </c>
      <c r="L25" s="197">
        <f>SUM(L24:L24)</f>
        <v>0</v>
      </c>
    </row>
    <row r="26" spans="1:12" ht="12.75">
      <c r="A26" s="206"/>
      <c r="B26" s="192"/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1:12" ht="12.75">
      <c r="A27" s="206"/>
      <c r="B27" s="194" t="s">
        <v>64</v>
      </c>
      <c r="C27" s="198">
        <f>IF(C24=0,"",(C22/C25))</f>
        <v>1.5170723595171105</v>
      </c>
      <c r="D27" s="198">
        <f aca="true" t="shared" si="10" ref="D27:K27">IF(D24=0,"",(D22/D25))</f>
        <v>0.9019524212665275</v>
      </c>
      <c r="E27" s="198">
        <f t="shared" si="10"/>
        <v>1.0557203461947042</v>
      </c>
      <c r="F27" s="198">
        <f t="shared" si="10"/>
        <v>1.2048863031352373</v>
      </c>
      <c r="G27" s="198">
        <f t="shared" si="10"/>
        <v>1.3026849744549687</v>
      </c>
      <c r="H27" s="198">
        <v>0</v>
      </c>
      <c r="I27" s="198">
        <f t="shared" si="10"/>
      </c>
      <c r="J27" s="198">
        <f t="shared" si="10"/>
      </c>
      <c r="K27" s="198">
        <f t="shared" si="10"/>
      </c>
      <c r="L27" s="198">
        <f>IF(L24=0,"",(L22/L25))</f>
      </c>
    </row>
    <row r="28" spans="1:12" ht="12.75">
      <c r="A28" s="206"/>
      <c r="B28" s="194" t="s">
        <v>62</v>
      </c>
      <c r="C28" s="197">
        <f>AVERAGE(C27:G27)</f>
        <v>1.1964632809137095</v>
      </c>
      <c r="D28" s="195"/>
      <c r="E28" s="195"/>
      <c r="F28" s="195"/>
      <c r="G28" s="195"/>
      <c r="H28" s="195"/>
      <c r="I28" s="195"/>
      <c r="J28" s="195"/>
      <c r="K28" s="195"/>
      <c r="L28" s="195"/>
    </row>
    <row r="29" spans="1:12" ht="13.5" thickBot="1">
      <c r="A29" s="201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4"/>
    </row>
    <row r="30" ht="3" customHeight="1"/>
  </sheetData>
  <sheetProtection password="DAD4" sheet="1" formatCells="0" formatColumns="0" formatRows="0"/>
  <mergeCells count="1">
    <mergeCell ref="A17:L17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L25"/>
  <sheetViews>
    <sheetView zoomScaleSheetLayoutView="100" workbookViewId="0" topLeftCell="A1">
      <selection activeCell="A25" sqref="A25"/>
    </sheetView>
  </sheetViews>
  <sheetFormatPr defaultColWidth="0" defaultRowHeight="12.75"/>
  <cols>
    <col min="1" max="1" width="30.8515625" style="486" bestFit="1" customWidth="1"/>
    <col min="2" max="2" width="15.421875" style="485" bestFit="1" customWidth="1"/>
    <col min="3" max="12" width="12.7109375" style="485" customWidth="1"/>
    <col min="13" max="13" width="0.85546875" style="485" customWidth="1"/>
    <col min="14" max="16384" width="0" style="486" hidden="1" customWidth="1"/>
  </cols>
  <sheetData>
    <row r="1" spans="1:12" ht="12.75">
      <c r="A1" s="1" t="str">
        <f>Parameters!$C$3</f>
        <v>Darashaw &amp; Co.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</row>
    <row r="2" spans="1:12" ht="12.75">
      <c r="A2" s="9" t="str">
        <f>Parameters!$C$4</f>
        <v>Shirdi Nagar Panchyat Street Light</v>
      </c>
      <c r="B2" s="4"/>
      <c r="C2" s="4"/>
      <c r="D2" s="4"/>
      <c r="E2" s="4"/>
      <c r="F2" s="4"/>
      <c r="G2" s="4"/>
      <c r="H2" s="4"/>
      <c r="I2" s="4"/>
      <c r="J2" s="4"/>
      <c r="K2" s="4"/>
      <c r="L2" s="10"/>
    </row>
    <row r="3" spans="1:12" ht="13.5" thickBot="1">
      <c r="A3" s="3"/>
      <c r="B3" s="4"/>
      <c r="C3" s="4"/>
      <c r="D3" s="4"/>
      <c r="E3" s="4"/>
      <c r="F3" s="4"/>
      <c r="G3" s="4"/>
      <c r="H3" s="14" t="s">
        <v>127</v>
      </c>
      <c r="I3" s="15" t="str">
        <f>CONCATENATE(Parameters!C11," ",Parameters!C12)</f>
        <v>INR Lacs</v>
      </c>
      <c r="J3" s="15"/>
      <c r="K3" s="15"/>
      <c r="L3" s="10"/>
    </row>
    <row r="4" spans="1:12" ht="13.5" customHeight="1">
      <c r="A4" s="28" t="s">
        <v>448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3.5" customHeight="1">
      <c r="A5" s="16" t="s">
        <v>66</v>
      </c>
      <c r="B5" s="5" t="s">
        <v>65</v>
      </c>
      <c r="C5" s="495">
        <f>Saving!D7</f>
        <v>1</v>
      </c>
      <c r="D5" s="495">
        <f>Saving!E7</f>
        <v>2</v>
      </c>
      <c r="E5" s="495">
        <f>Saving!F7</f>
        <v>3</v>
      </c>
      <c r="F5" s="495">
        <f>Saving!G7</f>
        <v>4</v>
      </c>
      <c r="G5" s="495">
        <f>Saving!H7</f>
        <v>5</v>
      </c>
      <c r="H5" s="495">
        <f>Saving!I7</f>
        <v>6</v>
      </c>
      <c r="I5" s="495">
        <f>Saving!J7</f>
        <v>7</v>
      </c>
      <c r="J5" s="495">
        <f>Saving!K7</f>
        <v>8</v>
      </c>
      <c r="K5" s="495">
        <f>Saving!L7</f>
        <v>9</v>
      </c>
      <c r="L5" s="495">
        <f>Saving!M7</f>
        <v>10</v>
      </c>
    </row>
    <row r="6" spans="1:12" ht="13.5" customHeight="1">
      <c r="A6" s="486" t="s">
        <v>309</v>
      </c>
      <c r="B6" s="6"/>
      <c r="C6" s="19">
        <f>-'Capital Cost '!C17</f>
        <v>-129.3963168334961</v>
      </c>
      <c r="D6" s="7"/>
      <c r="E6" s="7"/>
      <c r="F6" s="7"/>
      <c r="G6" s="7"/>
      <c r="H6" s="7"/>
      <c r="I6" s="7"/>
      <c r="J6" s="7"/>
      <c r="K6" s="7"/>
      <c r="L6" s="13"/>
    </row>
    <row r="7" spans="1:12" ht="13.5" customHeight="1">
      <c r="A7" s="487" t="s">
        <v>308</v>
      </c>
      <c r="B7" s="488"/>
      <c r="C7" s="11">
        <f>'P&amp;L'!C32+'P&amp;L'!C27+'P&amp;L'!C26+'P&amp;L'!C22</f>
        <v>24.58690048405029</v>
      </c>
      <c r="D7" s="11">
        <f>'P&amp;L'!D32+'P&amp;L'!D27+'P&amp;L'!D26+'P&amp;L'!D22</f>
        <v>21.3040454277337</v>
      </c>
      <c r="E7" s="11">
        <f>'P&amp;L'!E32+'P&amp;L'!E27+'P&amp;L'!E26+'P&amp;L'!E22</f>
        <v>21.759828179952038</v>
      </c>
      <c r="F7" s="11">
        <f>'P&amp;L'!F32+'P&amp;L'!F27+'P&amp;L'!F26+'P&amp;L'!F22</f>
        <v>22.14269995092075</v>
      </c>
      <c r="G7" s="11">
        <f>'P&amp;L'!G32+'P&amp;L'!G27+'P&amp;L'!G26+'P&amp;L'!G22</f>
        <v>21.711737464719835</v>
      </c>
      <c r="H7" s="11">
        <f>'P&amp;L'!H32+'P&amp;L'!H27+'P&amp;L'!H26+'P&amp;L'!H22</f>
        <v>21.28885084609812</v>
      </c>
      <c r="I7" s="11">
        <f>'P&amp;L'!I32+'P&amp;L'!I27+'P&amp;L'!I26+'P&amp;L'!I22</f>
        <v>21.842246666778962</v>
      </c>
      <c r="J7" s="11">
        <f>'P&amp;L'!J32+'P&amp;L'!J27+'P&amp;L'!J26+'P&amp;L'!J22</f>
        <v>20.8113495563372</v>
      </c>
      <c r="K7" s="11">
        <f>'P&amp;L'!K32+'P&amp;L'!K27+'P&amp;L'!K26+'P&amp;L'!K22</f>
        <v>21.853295055881084</v>
      </c>
      <c r="L7" s="12">
        <f>'P&amp;L'!L32+'P&amp;L'!L27+'P&amp;L'!L26+'P&amp;L'!L22</f>
        <v>22.96584612399068</v>
      </c>
    </row>
    <row r="8" spans="1:12" ht="13.5" customHeight="1">
      <c r="A8" s="489"/>
      <c r="B8" s="488"/>
      <c r="C8" s="27">
        <f>C7+C6</f>
        <v>-104.8094163494458</v>
      </c>
      <c r="D8" s="27">
        <f aca="true" t="shared" si="0" ref="D8:L8">SUM(D6:D7)</f>
        <v>21.3040454277337</v>
      </c>
      <c r="E8" s="27">
        <f t="shared" si="0"/>
        <v>21.759828179952038</v>
      </c>
      <c r="F8" s="27">
        <f t="shared" si="0"/>
        <v>22.14269995092075</v>
      </c>
      <c r="G8" s="27">
        <f t="shared" si="0"/>
        <v>21.711737464719835</v>
      </c>
      <c r="H8" s="27">
        <f t="shared" si="0"/>
        <v>21.28885084609812</v>
      </c>
      <c r="I8" s="27">
        <f t="shared" si="0"/>
        <v>21.842246666778962</v>
      </c>
      <c r="J8" s="27">
        <f t="shared" si="0"/>
        <v>20.8113495563372</v>
      </c>
      <c r="K8" s="27">
        <f t="shared" si="0"/>
        <v>21.853295055881084</v>
      </c>
      <c r="L8" s="27">
        <f t="shared" si="0"/>
        <v>22.96584612399068</v>
      </c>
    </row>
    <row r="9" spans="1:12" ht="13.5" customHeight="1" thickBot="1">
      <c r="A9" s="31">
        <f>IRR(C8:L8)</f>
        <v>0.14642656498615692</v>
      </c>
      <c r="B9" s="42"/>
      <c r="C9" s="17"/>
      <c r="D9" s="17"/>
      <c r="E9" s="17"/>
      <c r="F9" s="17"/>
      <c r="G9" s="17"/>
      <c r="H9" s="17"/>
      <c r="I9" s="17"/>
      <c r="J9" s="17"/>
      <c r="K9" s="17"/>
      <c r="L9" s="18"/>
    </row>
    <row r="11" spans="1:12" ht="12.75">
      <c r="A11" s="490" t="s">
        <v>449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</row>
    <row r="12" spans="1:12" ht="12.75">
      <c r="A12" s="490" t="str">
        <f aca="true" t="shared" si="1" ref="A12:L12">A5</f>
        <v>IRR Calculation with Interest</v>
      </c>
      <c r="B12" s="491" t="str">
        <f t="shared" si="1"/>
        <v>Investment</v>
      </c>
      <c r="C12" s="492">
        <f t="shared" si="1"/>
        <v>1</v>
      </c>
      <c r="D12" s="492">
        <f t="shared" si="1"/>
        <v>2</v>
      </c>
      <c r="E12" s="492">
        <f t="shared" si="1"/>
        <v>3</v>
      </c>
      <c r="F12" s="492">
        <f t="shared" si="1"/>
        <v>4</v>
      </c>
      <c r="G12" s="492">
        <f t="shared" si="1"/>
        <v>5</v>
      </c>
      <c r="H12" s="492">
        <f t="shared" si="1"/>
        <v>6</v>
      </c>
      <c r="I12" s="492">
        <f t="shared" si="1"/>
        <v>7</v>
      </c>
      <c r="J12" s="492">
        <f t="shared" si="1"/>
        <v>8</v>
      </c>
      <c r="K12" s="492">
        <f t="shared" si="1"/>
        <v>9</v>
      </c>
      <c r="L12" s="492">
        <f t="shared" si="1"/>
        <v>10</v>
      </c>
    </row>
    <row r="13" spans="1:12" ht="12.75">
      <c r="A13" s="490" t="str">
        <f>A6</f>
        <v>Project Cost </v>
      </c>
      <c r="B13" s="488"/>
      <c r="C13" s="493">
        <f>C6</f>
        <v>-129.3963168334961</v>
      </c>
      <c r="D13" s="488"/>
      <c r="E13" s="488"/>
      <c r="F13" s="488"/>
      <c r="G13" s="488"/>
      <c r="H13" s="488"/>
      <c r="I13" s="488"/>
      <c r="J13" s="488"/>
      <c r="K13" s="488"/>
      <c r="L13" s="488"/>
    </row>
    <row r="14" spans="1:12" ht="12.75">
      <c r="A14" s="490" t="str">
        <f>A7</f>
        <v>PAT+Dep+Int</v>
      </c>
      <c r="B14" s="488"/>
      <c r="C14" s="493">
        <f>'P&amp;L'!C32+'P&amp;L'!C27+'P&amp;L'!C26+'P&amp;L'!C22+((Saving!D12/100)*Saving!D15)</f>
        <v>27.19274276485029</v>
      </c>
      <c r="D14" s="493">
        <f>'P&amp;L'!D32+'P&amp;L'!D27+'P&amp;L'!D26+'P&amp;L'!D22+((Saving!E12/100)*Saving!E15)</f>
        <v>23.9880629769577</v>
      </c>
      <c r="E14" s="493">
        <f>'P&amp;L'!E32+'P&amp;L'!E27+'P&amp;L'!E26+'P&amp;L'!E22+((Saving!F12/100)*Saving!F15)</f>
        <v>24.524366255652758</v>
      </c>
      <c r="F14" s="493">
        <f>'P&amp;L'!F32+'P&amp;L'!F27+'P&amp;L'!F26+'P&amp;L'!F22+((Saving!G12/100)*Saving!G15)</f>
        <v>24.990174168892494</v>
      </c>
      <c r="G14" s="493">
        <f>'P&amp;L'!G32+'P&amp;L'!G27+'P&amp;L'!G26+'P&amp;L'!G22+((Saving!H12/100)*Saving!H15)</f>
        <v>24.64463590923073</v>
      </c>
      <c r="H14" s="493">
        <f>'P&amp;L'!H32+'P&amp;L'!H27+'P&amp;L'!H26+'P&amp;L'!H22+((Saving!I12/100)*Saving!I15)</f>
        <v>24.309736243944343</v>
      </c>
      <c r="I14" s="493">
        <f>'P&amp;L'!I32+'P&amp;L'!I27+'P&amp;L'!I26+'P&amp;L'!I22+((Saving!J12/100)*Saving!J15)</f>
        <v>24.95375862656057</v>
      </c>
      <c r="J14" s="493">
        <f>'P&amp;L'!J32+'P&amp;L'!J27+'P&amp;L'!J26+'P&amp;L'!J22+((Saving!K12/100)*Saving!K15)</f>
        <v>24.016206874912253</v>
      </c>
      <c r="K14" s="493">
        <f>'P&amp;L'!K32+'P&amp;L'!K27+'P&amp;L'!K26+'P&amp;L'!K22+((Saving!L12/100)*Saving!L15)</f>
        <v>25.15429809401339</v>
      </c>
      <c r="L14" s="493">
        <f>'P&amp;L'!L32+'P&amp;L'!L27+'P&amp;L'!L26+'P&amp;L'!L22+((Saving!M12/100)*Saving!M15)</f>
        <v>26.365879253266957</v>
      </c>
    </row>
    <row r="15" spans="1:12" ht="12.75">
      <c r="A15" s="490"/>
      <c r="B15" s="488"/>
      <c r="C15" s="493">
        <f aca="true" t="shared" si="2" ref="C15:L15">C13+C14</f>
        <v>-102.20357406864579</v>
      </c>
      <c r="D15" s="493">
        <f t="shared" si="2"/>
        <v>23.9880629769577</v>
      </c>
      <c r="E15" s="493">
        <f t="shared" si="2"/>
        <v>24.524366255652758</v>
      </c>
      <c r="F15" s="493">
        <f t="shared" si="2"/>
        <v>24.990174168892494</v>
      </c>
      <c r="G15" s="493">
        <f t="shared" si="2"/>
        <v>24.64463590923073</v>
      </c>
      <c r="H15" s="493">
        <f t="shared" si="2"/>
        <v>24.309736243944343</v>
      </c>
      <c r="I15" s="493">
        <f t="shared" si="2"/>
        <v>24.95375862656057</v>
      </c>
      <c r="J15" s="493">
        <f t="shared" si="2"/>
        <v>24.016206874912253</v>
      </c>
      <c r="K15" s="493">
        <f t="shared" si="2"/>
        <v>25.15429809401339</v>
      </c>
      <c r="L15" s="493">
        <f t="shared" si="2"/>
        <v>26.365879253266957</v>
      </c>
    </row>
    <row r="16" spans="1:12" ht="12.75">
      <c r="A16" s="494">
        <f>IRR(C15:L15)</f>
        <v>0.19070557326588022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8" spans="1:12" ht="12.75">
      <c r="A18" s="490" t="s">
        <v>450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</row>
    <row r="19" spans="1:12" ht="12.75">
      <c r="A19" s="490"/>
      <c r="B19" s="491" t="str">
        <f aca="true" t="shared" si="3" ref="B19:L19">B12</f>
        <v>Investment</v>
      </c>
      <c r="C19" s="492">
        <f t="shared" si="3"/>
        <v>1</v>
      </c>
      <c r="D19" s="492">
        <f t="shared" si="3"/>
        <v>2</v>
      </c>
      <c r="E19" s="492">
        <f t="shared" si="3"/>
        <v>3</v>
      </c>
      <c r="F19" s="492">
        <f t="shared" si="3"/>
        <v>4</v>
      </c>
      <c r="G19" s="492">
        <f t="shared" si="3"/>
        <v>5</v>
      </c>
      <c r="H19" s="492">
        <f t="shared" si="3"/>
        <v>6</v>
      </c>
      <c r="I19" s="492">
        <f t="shared" si="3"/>
        <v>7</v>
      </c>
      <c r="J19" s="492">
        <f t="shared" si="3"/>
        <v>8</v>
      </c>
      <c r="K19" s="492">
        <f t="shared" si="3"/>
        <v>9</v>
      </c>
      <c r="L19" s="492">
        <f t="shared" si="3"/>
        <v>10</v>
      </c>
    </row>
    <row r="20" spans="1:12" ht="12.75">
      <c r="A20" s="490" t="s">
        <v>451</v>
      </c>
      <c r="B20" s="488"/>
      <c r="C20" s="493">
        <f>-Parameters!C19</f>
        <v>-54.14000000000001</v>
      </c>
      <c r="D20" s="488"/>
      <c r="E20" s="488"/>
      <c r="F20" s="488"/>
      <c r="G20" s="488"/>
      <c r="H20" s="488"/>
      <c r="I20" s="488"/>
      <c r="J20" s="488"/>
      <c r="K20" s="488"/>
      <c r="L20" s="488"/>
    </row>
    <row r="21" spans="1:12" ht="12.75">
      <c r="A21" s="490" t="s">
        <v>229</v>
      </c>
      <c r="B21" s="488"/>
      <c r="C21" s="493">
        <f>'P&amp;L'!C32</f>
        <v>13.393528128498819</v>
      </c>
      <c r="D21" s="493">
        <f>'P&amp;L'!D32</f>
        <v>8.112424670225842</v>
      </c>
      <c r="E21" s="493">
        <f>'P&amp;L'!E32</f>
        <v>10.548636812799339</v>
      </c>
      <c r="F21" s="493">
        <f>'P&amp;L'!F32</f>
        <v>12.911937974123209</v>
      </c>
      <c r="G21" s="493">
        <f>'P&amp;L'!G32</f>
        <v>14.461404878277456</v>
      </c>
      <c r="H21" s="493">
        <f>'P&amp;L'!H32</f>
        <v>15.111250846098121</v>
      </c>
      <c r="I21" s="493">
        <f>'P&amp;L'!I32</f>
        <v>15.664646666778964</v>
      </c>
      <c r="J21" s="493">
        <f>'P&amp;L'!J32</f>
        <v>14.6337495563372</v>
      </c>
      <c r="K21" s="493">
        <f>'P&amp;L'!K32</f>
        <v>15.675695055881082</v>
      </c>
      <c r="L21" s="493">
        <f>'P&amp;L'!L32</f>
        <v>16.78824612399068</v>
      </c>
    </row>
    <row r="22" spans="1:12" ht="12.75">
      <c r="A22" s="490" t="s">
        <v>32</v>
      </c>
      <c r="B22" s="488"/>
      <c r="C22" s="493">
        <f>'P&amp;L'!C22</f>
        <v>4.6332</v>
      </c>
      <c r="D22" s="493">
        <f>'P&amp;L'!D22</f>
        <v>6.1776</v>
      </c>
      <c r="E22" s="493">
        <f>'P&amp;L'!E22</f>
        <v>6.1776</v>
      </c>
      <c r="F22" s="493">
        <f>'P&amp;L'!F22</f>
        <v>6.1776</v>
      </c>
      <c r="G22" s="493">
        <f>'P&amp;L'!G22</f>
        <v>6.1776</v>
      </c>
      <c r="H22" s="493">
        <f>'P&amp;L'!H22</f>
        <v>6.1776</v>
      </c>
      <c r="I22" s="493">
        <f>'P&amp;L'!I22</f>
        <v>6.1776</v>
      </c>
      <c r="J22" s="493">
        <f>'P&amp;L'!J22</f>
        <v>6.1776</v>
      </c>
      <c r="K22" s="493">
        <f>'P&amp;L'!K22</f>
        <v>6.1776</v>
      </c>
      <c r="L22" s="493">
        <f>'P&amp;L'!L22</f>
        <v>6.1776</v>
      </c>
    </row>
    <row r="23" spans="1:12" ht="12.75">
      <c r="A23" s="490" t="s">
        <v>453</v>
      </c>
      <c r="B23" s="488"/>
      <c r="C23" s="493">
        <f>-Interest!K16</f>
        <v>-11.882576342130964</v>
      </c>
      <c r="D23" s="493">
        <f>-Interest!K28</f>
        <v>-15.843435122841285</v>
      </c>
      <c r="E23" s="493">
        <f>-Interest!K40</f>
        <v>-15.843435122841285</v>
      </c>
      <c r="F23" s="493">
        <f>-Interest!K52</f>
        <v>-15.843435122841285</v>
      </c>
      <c r="G23" s="493">
        <f>-Interest!K64</f>
        <v>-15.843435122841285</v>
      </c>
      <c r="H23" s="493"/>
      <c r="I23" s="493"/>
      <c r="J23" s="493"/>
      <c r="K23" s="493"/>
      <c r="L23" s="493"/>
    </row>
    <row r="24" spans="1:12" ht="12.75">
      <c r="A24" s="491" t="s">
        <v>452</v>
      </c>
      <c r="B24" s="488"/>
      <c r="C24" s="493">
        <f>SUM(C20:C23)</f>
        <v>-47.995848213632144</v>
      </c>
      <c r="D24" s="493">
        <f aca="true" t="shared" si="4" ref="D24:L24">SUM(D20:D23)</f>
        <v>-1.5534104526154433</v>
      </c>
      <c r="E24" s="493">
        <f t="shared" si="4"/>
        <v>0.882801689958054</v>
      </c>
      <c r="F24" s="493">
        <f t="shared" si="4"/>
        <v>3.2461028512819254</v>
      </c>
      <c r="G24" s="493">
        <f t="shared" si="4"/>
        <v>4.795569755436169</v>
      </c>
      <c r="H24" s="493">
        <f t="shared" si="4"/>
        <v>21.28885084609812</v>
      </c>
      <c r="I24" s="493">
        <f t="shared" si="4"/>
        <v>21.842246666778962</v>
      </c>
      <c r="J24" s="493">
        <f t="shared" si="4"/>
        <v>20.8113495563372</v>
      </c>
      <c r="K24" s="493">
        <f t="shared" si="4"/>
        <v>21.853295055881084</v>
      </c>
      <c r="L24" s="493">
        <f t="shared" si="4"/>
        <v>22.96584612399068</v>
      </c>
    </row>
    <row r="25" spans="1:12" ht="12.75">
      <c r="A25" s="494">
        <f>IRR(C24:L24)</f>
        <v>0.14144680368896445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</sheetData>
  <sheetProtection password="DAD4" sheet="1"/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G16" sqref="G16"/>
    </sheetView>
  </sheetViews>
  <sheetFormatPr defaultColWidth="9.140625" defaultRowHeight="12.75"/>
  <cols>
    <col min="1" max="1" width="12.8515625" style="143" customWidth="1"/>
    <col min="2" max="2" width="15.421875" style="143" customWidth="1"/>
    <col min="3" max="3" width="9.7109375" style="143" customWidth="1"/>
    <col min="4" max="4" width="18.57421875" style="143" customWidth="1"/>
    <col min="5" max="6" width="9.8515625" style="143" bestFit="1" customWidth="1"/>
    <col min="7" max="7" width="12.00390625" style="143" customWidth="1"/>
    <col min="8" max="8" width="11.28125" style="143" customWidth="1"/>
    <col min="9" max="9" width="15.140625" style="143" customWidth="1"/>
    <col min="10" max="16384" width="9.140625" style="143" customWidth="1"/>
  </cols>
  <sheetData>
    <row r="1" s="109" customFormat="1" ht="15">
      <c r="A1" s="108" t="s">
        <v>260</v>
      </c>
    </row>
    <row r="2" s="109" customFormat="1" ht="15">
      <c r="A2" s="110"/>
    </row>
    <row r="3" s="109" customFormat="1" ht="15">
      <c r="A3" s="111"/>
    </row>
    <row r="4" s="109" customFormat="1" ht="15">
      <c r="A4" s="108"/>
    </row>
    <row r="5" s="109" customFormat="1" ht="15">
      <c r="A5" s="112" t="s">
        <v>261</v>
      </c>
    </row>
    <row r="6" s="109" customFormat="1" ht="15"/>
    <row r="7" spans="1:4" s="109" customFormat="1" ht="15">
      <c r="A7" s="592" t="s">
        <v>262</v>
      </c>
      <c r="B7" s="593"/>
      <c r="C7" s="593"/>
      <c r="D7" s="594"/>
    </row>
    <row r="8" spans="1:4" s="109" customFormat="1" ht="14.25" customHeight="1">
      <c r="A8" s="113"/>
      <c r="B8" s="114" t="s">
        <v>263</v>
      </c>
      <c r="C8" s="114" t="s">
        <v>264</v>
      </c>
      <c r="D8" s="115" t="s">
        <v>265</v>
      </c>
    </row>
    <row r="9" spans="1:5" s="109" customFormat="1" ht="15">
      <c r="A9" s="113"/>
      <c r="B9" s="116">
        <f>Parameters!$C$103</f>
        <v>0.084254</v>
      </c>
      <c r="C9" s="117">
        <v>1</v>
      </c>
      <c r="D9" s="155">
        <f>Parameters!$C$108-B9</f>
        <v>0.05824599999999999</v>
      </c>
      <c r="E9" s="156"/>
    </row>
    <row r="10" spans="1:4" s="109" customFormat="1" ht="15">
      <c r="A10" s="118" t="s">
        <v>262</v>
      </c>
      <c r="B10" s="157">
        <f>B9+(C9*D9)</f>
        <v>0.1425</v>
      </c>
      <c r="C10" s="119"/>
      <c r="D10" s="120"/>
    </row>
    <row r="11" spans="1:4" s="109" customFormat="1" ht="15">
      <c r="A11" s="121"/>
      <c r="B11" s="122"/>
      <c r="C11" s="122"/>
      <c r="D11" s="122"/>
    </row>
    <row r="12" spans="1:4" s="109" customFormat="1" ht="15">
      <c r="A12" s="595" t="s">
        <v>266</v>
      </c>
      <c r="B12" s="596"/>
      <c r="C12" s="597"/>
      <c r="D12" s="122"/>
    </row>
    <row r="13" spans="1:4" s="109" customFormat="1" ht="15">
      <c r="A13" s="123"/>
      <c r="B13" s="124" t="s">
        <v>267</v>
      </c>
      <c r="C13" s="125" t="s">
        <v>215</v>
      </c>
      <c r="D13" s="122"/>
    </row>
    <row r="14" spans="1:4" s="109" customFormat="1" ht="15">
      <c r="A14" s="123"/>
      <c r="B14" s="126">
        <f>Parameters!C22</f>
        <v>0.125</v>
      </c>
      <c r="C14" s="127">
        <f>Parameters!C78</f>
        <v>0.33990000000000004</v>
      </c>
      <c r="D14" s="128"/>
    </row>
    <row r="15" spans="1:4" s="109" customFormat="1" ht="15">
      <c r="A15" s="129" t="s">
        <v>266</v>
      </c>
      <c r="B15" s="130">
        <f>+B14*(1-C14)</f>
        <v>0.08251249999999999</v>
      </c>
      <c r="C15" s="131"/>
      <c r="D15" s="132"/>
    </row>
    <row r="16" spans="1:5" s="109" customFormat="1" ht="15">
      <c r="A16" s="121"/>
      <c r="B16" s="122"/>
      <c r="C16" s="122"/>
      <c r="D16" s="133"/>
      <c r="E16" s="134"/>
    </row>
    <row r="17" spans="1:5" s="109" customFormat="1" ht="15">
      <c r="A17" s="598" t="s">
        <v>268</v>
      </c>
      <c r="B17" s="599"/>
      <c r="C17" s="135"/>
      <c r="D17" s="122"/>
      <c r="E17" s="136"/>
    </row>
    <row r="18" spans="1:5" s="109" customFormat="1" ht="15">
      <c r="A18" s="137" t="s">
        <v>269</v>
      </c>
      <c r="B18" s="138" t="s">
        <v>270</v>
      </c>
      <c r="D18" s="122"/>
      <c r="E18" s="136"/>
    </row>
    <row r="19" spans="1:5" s="109" customFormat="1" ht="15">
      <c r="A19" s="153">
        <f>Parameters!C17</f>
        <v>0.6</v>
      </c>
      <c r="B19" s="154">
        <f>Parameters!C16</f>
        <v>0.4</v>
      </c>
      <c r="D19" s="122"/>
      <c r="E19" s="136"/>
    </row>
    <row r="20" spans="1:5" s="109" customFormat="1" ht="15">
      <c r="A20" s="139"/>
      <c r="B20" s="140"/>
      <c r="C20" s="122"/>
      <c r="D20" s="122"/>
      <c r="E20" s="136"/>
    </row>
    <row r="21" spans="1:5" s="109" customFormat="1" ht="15.75" thickBot="1">
      <c r="A21" s="141" t="s">
        <v>271</v>
      </c>
      <c r="B21" s="142">
        <f>+(B10*B19+B15*A19)/(A19+B19)</f>
        <v>0.10650749999999998</v>
      </c>
      <c r="C21" s="122"/>
      <c r="D21" s="122"/>
      <c r="E21" s="134"/>
    </row>
    <row r="22" ht="15.75" thickTop="1">
      <c r="E22" s="144"/>
    </row>
    <row r="25" spans="2:14" ht="15">
      <c r="B25" s="145"/>
      <c r="C25" s="145"/>
      <c r="D25" s="145"/>
      <c r="E25" s="145"/>
      <c r="F25" s="145"/>
      <c r="G25" s="145"/>
      <c r="H25" s="145"/>
      <c r="I25" s="146"/>
      <c r="J25" s="146"/>
      <c r="K25" s="146"/>
      <c r="L25" s="146"/>
      <c r="M25" s="146"/>
      <c r="N25" s="146"/>
    </row>
    <row r="26" spans="2:10" ht="15">
      <c r="B26" s="147"/>
      <c r="C26" s="148"/>
      <c r="D26" s="148"/>
      <c r="E26" s="148"/>
      <c r="F26" s="148"/>
      <c r="G26" s="148"/>
      <c r="H26" s="148"/>
      <c r="I26" s="148"/>
      <c r="J26" s="148"/>
    </row>
    <row r="27" spans="2:8" ht="15">
      <c r="B27" s="149"/>
      <c r="C27" s="149"/>
      <c r="D27" s="149"/>
      <c r="E27" s="149"/>
      <c r="F27" s="149"/>
      <c r="G27" s="149"/>
      <c r="H27" s="149"/>
    </row>
    <row r="29" spans="2:8" ht="15">
      <c r="B29" s="150"/>
      <c r="C29" s="150"/>
      <c r="D29" s="150"/>
      <c r="E29" s="150"/>
      <c r="F29" s="150"/>
      <c r="G29" s="150"/>
      <c r="H29" s="150"/>
    </row>
    <row r="30" spans="2:8" ht="15">
      <c r="B30" s="149"/>
      <c r="C30" s="149"/>
      <c r="D30" s="149"/>
      <c r="E30" s="149"/>
      <c r="F30" s="149"/>
      <c r="G30" s="149"/>
      <c r="H30" s="149"/>
    </row>
    <row r="31" spans="2:8" ht="15">
      <c r="B31" s="150"/>
      <c r="C31" s="150"/>
      <c r="D31" s="150"/>
      <c r="E31" s="150"/>
      <c r="F31" s="150"/>
      <c r="G31" s="150"/>
      <c r="H31" s="150"/>
    </row>
    <row r="32" spans="2:8" ht="15">
      <c r="B32" s="150"/>
      <c r="C32" s="150"/>
      <c r="D32" s="150"/>
      <c r="E32" s="150"/>
      <c r="F32" s="150"/>
      <c r="G32" s="150"/>
      <c r="H32" s="150"/>
    </row>
    <row r="33" spans="2:11" ht="15">
      <c r="B33" s="151"/>
      <c r="C33" s="151"/>
      <c r="D33" s="151"/>
      <c r="E33" s="151"/>
      <c r="F33" s="151"/>
      <c r="G33" s="151"/>
      <c r="H33" s="151"/>
      <c r="K33" s="149"/>
    </row>
    <row r="34" spans="2:8" ht="15">
      <c r="B34" s="151"/>
      <c r="C34" s="151"/>
      <c r="D34" s="151"/>
      <c r="E34" s="151"/>
      <c r="F34" s="151"/>
      <c r="G34" s="151"/>
      <c r="H34" s="151"/>
    </row>
    <row r="35" spans="2:8" ht="15">
      <c r="B35" s="152"/>
      <c r="C35" s="152"/>
      <c r="D35" s="152"/>
      <c r="E35" s="152"/>
      <c r="F35" s="152"/>
      <c r="G35" s="152"/>
      <c r="H35" s="152"/>
    </row>
    <row r="36" spans="2:8" ht="15">
      <c r="B36" s="150"/>
      <c r="C36" s="150"/>
      <c r="D36" s="150"/>
      <c r="E36" s="150"/>
      <c r="F36" s="150"/>
      <c r="G36" s="150"/>
      <c r="H36" s="150"/>
    </row>
    <row r="37" spans="2:8" ht="15">
      <c r="B37" s="150"/>
      <c r="C37" s="150"/>
      <c r="D37" s="150"/>
      <c r="E37" s="150"/>
      <c r="F37" s="150"/>
      <c r="G37" s="150"/>
      <c r="H37" s="150"/>
    </row>
    <row r="38" spans="2:8" ht="15">
      <c r="B38" s="151"/>
      <c r="C38" s="151"/>
      <c r="D38" s="151"/>
      <c r="E38" s="151"/>
      <c r="F38" s="151"/>
      <c r="G38" s="151"/>
      <c r="H38" s="151"/>
    </row>
    <row r="40" spans="2:8" ht="15">
      <c r="B40" s="151"/>
      <c r="C40" s="151"/>
      <c r="D40" s="151"/>
      <c r="E40" s="151"/>
      <c r="F40" s="151"/>
      <c r="G40" s="151"/>
      <c r="H40" s="151"/>
    </row>
    <row r="41" spans="2:8" ht="15">
      <c r="B41" s="151"/>
      <c r="C41" s="151"/>
      <c r="D41" s="151"/>
      <c r="E41" s="151"/>
      <c r="F41" s="151"/>
      <c r="G41" s="151"/>
      <c r="H41" s="151"/>
    </row>
    <row r="42" spans="2:8" ht="15">
      <c r="B42" s="151"/>
      <c r="C42" s="151"/>
      <c r="D42" s="151"/>
      <c r="E42" s="151"/>
      <c r="F42" s="151"/>
      <c r="G42" s="151"/>
      <c r="H42" s="151"/>
    </row>
  </sheetData>
  <sheetProtection password="DAD4" sheet="1"/>
  <mergeCells count="3">
    <mergeCell ref="A7:D7"/>
    <mergeCell ref="A12:C12"/>
    <mergeCell ref="A17:B17"/>
  </mergeCells>
  <printOptions horizontalCentered="1"/>
  <pageMargins left="0.7" right="0.7" top="0.75" bottom="0.75" header="0.3" footer="0.3"/>
  <pageSetup horizontalDpi="300" verticalDpi="300" orientation="portrait" paperSize="9" r:id="rId1"/>
  <headerFooter>
    <oddHeader xml:space="preserve">&amp;CPartial Risk Gurantee for Energy Efficiency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M27"/>
  <sheetViews>
    <sheetView zoomScaleSheetLayoutView="106" workbookViewId="0" topLeftCell="A1">
      <selection activeCell="K12" sqref="K12"/>
    </sheetView>
  </sheetViews>
  <sheetFormatPr defaultColWidth="9.140625" defaultRowHeight="12.75"/>
  <cols>
    <col min="1" max="1" width="9.140625" style="102" customWidth="1"/>
    <col min="2" max="2" width="35.57421875" style="102" bestFit="1" customWidth="1"/>
    <col min="3" max="3" width="12.00390625" style="102" bestFit="1" customWidth="1"/>
    <col min="4" max="4" width="10.421875" style="102" bestFit="1" customWidth="1"/>
    <col min="5" max="13" width="9.57421875" style="102" bestFit="1" customWidth="1"/>
    <col min="14" max="16384" width="9.140625" style="102" customWidth="1"/>
  </cols>
  <sheetData>
    <row r="1" ht="13.5" thickBot="1"/>
    <row r="2" spans="2:13" ht="12.75">
      <c r="B2" s="173" t="s">
        <v>310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1"/>
    </row>
    <row r="3" spans="2:13" ht="12.75">
      <c r="B3" s="174" t="str">
        <f>Parameters!C4</f>
        <v>Shirdi Nagar Panchyat Street Light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74"/>
      <c r="C4" s="602" t="s">
        <v>222</v>
      </c>
      <c r="D4" s="602"/>
      <c r="E4" s="602"/>
      <c r="F4" s="602"/>
      <c r="G4" s="602"/>
      <c r="H4" s="602"/>
      <c r="I4" s="602"/>
      <c r="J4" s="602"/>
      <c r="K4" s="602"/>
      <c r="L4" s="602"/>
      <c r="M4" s="603"/>
    </row>
    <row r="5" spans="2:13" ht="12.75">
      <c r="B5" s="175" t="s">
        <v>223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1"/>
    </row>
    <row r="6" spans="2:13" ht="12.75">
      <c r="B6" s="175" t="s">
        <v>224</v>
      </c>
      <c r="C6" s="89"/>
      <c r="D6" s="89">
        <f>IRR!C5</f>
        <v>1</v>
      </c>
      <c r="E6" s="89">
        <f>IRR!D5</f>
        <v>2</v>
      </c>
      <c r="F6" s="89">
        <f>IRR!E5</f>
        <v>3</v>
      </c>
      <c r="G6" s="89">
        <f>IRR!F5</f>
        <v>4</v>
      </c>
      <c r="H6" s="89">
        <f>IRR!G5</f>
        <v>5</v>
      </c>
      <c r="I6" s="89">
        <f>IRR!H5</f>
        <v>6</v>
      </c>
      <c r="J6" s="89">
        <f>IRR!I5</f>
        <v>7</v>
      </c>
      <c r="K6" s="89">
        <f>IRR!J5</f>
        <v>8</v>
      </c>
      <c r="L6" s="89">
        <f>IRR!K5</f>
        <v>9</v>
      </c>
      <c r="M6" s="91">
        <f>IRR!L5</f>
        <v>10</v>
      </c>
    </row>
    <row r="7" spans="2:13" ht="12.75">
      <c r="B7" s="172" t="s">
        <v>230</v>
      </c>
      <c r="C7" s="89"/>
      <c r="D7" s="89">
        <f>-'Capital Cost '!C24</f>
        <v>-129.39631683349612</v>
      </c>
      <c r="E7" s="89"/>
      <c r="F7" s="89"/>
      <c r="G7" s="89"/>
      <c r="H7" s="89"/>
      <c r="I7" s="89"/>
      <c r="J7" s="89"/>
      <c r="K7" s="89"/>
      <c r="L7" s="89"/>
      <c r="M7" s="91"/>
    </row>
    <row r="8" spans="2:13" ht="12.75">
      <c r="B8" s="176" t="s">
        <v>32</v>
      </c>
      <c r="C8" s="89"/>
      <c r="D8" s="90">
        <f>'P&amp;L'!C22</f>
        <v>4.6332</v>
      </c>
      <c r="E8" s="90">
        <f>'P&amp;L'!D22</f>
        <v>6.1776</v>
      </c>
      <c r="F8" s="90">
        <f>'P&amp;L'!E22</f>
        <v>6.1776</v>
      </c>
      <c r="G8" s="90">
        <f>'P&amp;L'!F22</f>
        <v>6.1776</v>
      </c>
      <c r="H8" s="90">
        <f>'P&amp;L'!G22</f>
        <v>6.1776</v>
      </c>
      <c r="I8" s="90">
        <f>'P&amp;L'!H22</f>
        <v>6.1776</v>
      </c>
      <c r="J8" s="90">
        <f>'P&amp;L'!I22</f>
        <v>6.1776</v>
      </c>
      <c r="K8" s="90">
        <f>'P&amp;L'!J22</f>
        <v>6.1776</v>
      </c>
      <c r="L8" s="90">
        <f>'P&amp;L'!K22</f>
        <v>6.1776</v>
      </c>
      <c r="M8" s="92">
        <f>'P&amp;L'!L22</f>
        <v>6.1776</v>
      </c>
    </row>
    <row r="9" spans="2:13" ht="12.75">
      <c r="B9" s="176" t="s">
        <v>102</v>
      </c>
      <c r="C9" s="89"/>
      <c r="D9" s="90">
        <f>'P&amp;L'!C26</f>
        <v>0</v>
      </c>
      <c r="E9" s="90">
        <f>'P&amp;L'!D26</f>
        <v>0</v>
      </c>
      <c r="F9" s="90">
        <f>'P&amp;L'!E26</f>
        <v>0</v>
      </c>
      <c r="G9" s="90">
        <f>'P&amp;L'!F26</f>
        <v>0</v>
      </c>
      <c r="H9" s="90">
        <f>'P&amp;L'!G26</f>
        <v>0</v>
      </c>
      <c r="I9" s="90">
        <f>'P&amp;L'!H26</f>
        <v>0</v>
      </c>
      <c r="J9" s="90">
        <f>'P&amp;L'!I26</f>
        <v>0</v>
      </c>
      <c r="K9" s="90">
        <f>'P&amp;L'!J26</f>
        <v>0</v>
      </c>
      <c r="L9" s="90">
        <f>'P&amp;L'!K26</f>
        <v>0</v>
      </c>
      <c r="M9" s="92">
        <f>'P&amp;L'!L26</f>
        <v>0</v>
      </c>
    </row>
    <row r="10" spans="2:13" ht="12.75">
      <c r="B10" s="176" t="s">
        <v>103</v>
      </c>
      <c r="C10" s="89"/>
      <c r="D10" s="90">
        <f>'P&amp;L'!C27</f>
        <v>6.560172355551469</v>
      </c>
      <c r="E10" s="90">
        <f>'P&amp;L'!D27</f>
        <v>7.0140207575078595</v>
      </c>
      <c r="F10" s="90">
        <f>'P&amp;L'!E27</f>
        <v>5.0335913671527</v>
      </c>
      <c r="G10" s="90">
        <f>'P&amp;L'!F27</f>
        <v>3.053161976797539</v>
      </c>
      <c r="H10" s="90">
        <f>'P&amp;L'!G27</f>
        <v>1.0727325864423787</v>
      </c>
      <c r="I10" s="90">
        <f>'P&amp;L'!H27</f>
        <v>0</v>
      </c>
      <c r="J10" s="90">
        <f>'P&amp;L'!I27</f>
        <v>0</v>
      </c>
      <c r="K10" s="90">
        <f>'P&amp;L'!J27</f>
        <v>0</v>
      </c>
      <c r="L10" s="90">
        <f>'P&amp;L'!K27</f>
        <v>0</v>
      </c>
      <c r="M10" s="92">
        <f>'P&amp;L'!L27</f>
        <v>0</v>
      </c>
    </row>
    <row r="11" spans="2:13" ht="12.75">
      <c r="B11" s="177" t="s">
        <v>39</v>
      </c>
      <c r="C11" s="89"/>
      <c r="D11" s="90">
        <f>'P&amp;L'!C32</f>
        <v>13.393528128498819</v>
      </c>
      <c r="E11" s="90">
        <f>'P&amp;L'!D32</f>
        <v>8.112424670225842</v>
      </c>
      <c r="F11" s="90">
        <f>'P&amp;L'!E32</f>
        <v>10.548636812799339</v>
      </c>
      <c r="G11" s="90">
        <f>'P&amp;L'!F32</f>
        <v>12.911937974123209</v>
      </c>
      <c r="H11" s="90">
        <f>'P&amp;L'!G32</f>
        <v>14.461404878277456</v>
      </c>
      <c r="I11" s="90">
        <f>'P&amp;L'!H32</f>
        <v>15.111250846098121</v>
      </c>
      <c r="J11" s="90">
        <f>'P&amp;L'!I32</f>
        <v>15.664646666778964</v>
      </c>
      <c r="K11" s="90">
        <f>'P&amp;L'!J32</f>
        <v>14.6337495563372</v>
      </c>
      <c r="L11" s="90">
        <f>'P&amp;L'!K32</f>
        <v>15.675695055881082</v>
      </c>
      <c r="M11" s="92">
        <f>'P&amp;L'!L32</f>
        <v>16.78824612399068</v>
      </c>
    </row>
    <row r="12" spans="2:13" ht="12.75">
      <c r="B12" s="176" t="s">
        <v>225</v>
      </c>
      <c r="C12" s="89"/>
      <c r="D12" s="90">
        <f>SUM(D7:D11)</f>
        <v>-104.80941634944583</v>
      </c>
      <c r="E12" s="90">
        <f aca="true" t="shared" si="0" ref="E12:M12">SUM(E7:E11)</f>
        <v>21.3040454277337</v>
      </c>
      <c r="F12" s="90">
        <f t="shared" si="0"/>
        <v>21.759828179952038</v>
      </c>
      <c r="G12" s="90">
        <f t="shared" si="0"/>
        <v>22.142699950920747</v>
      </c>
      <c r="H12" s="90">
        <f t="shared" si="0"/>
        <v>21.711737464719835</v>
      </c>
      <c r="I12" s="90">
        <f t="shared" si="0"/>
        <v>21.28885084609812</v>
      </c>
      <c r="J12" s="90">
        <f t="shared" si="0"/>
        <v>21.842246666778962</v>
      </c>
      <c r="K12" s="90">
        <f t="shared" si="0"/>
        <v>20.8113495563372</v>
      </c>
      <c r="L12" s="90">
        <f t="shared" si="0"/>
        <v>21.853295055881084</v>
      </c>
      <c r="M12" s="92">
        <f t="shared" si="0"/>
        <v>22.96584612399068</v>
      </c>
    </row>
    <row r="13" spans="2:13" ht="13.5" thickBot="1">
      <c r="B13" s="178" t="s">
        <v>226</v>
      </c>
      <c r="C13" s="104">
        <f>NPV(Parameters!$D$101,D12:M12)</f>
        <v>20.384013281669116</v>
      </c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5" ht="13.5" hidden="1" thickBot="1"/>
    <row r="16" spans="2:13" ht="12.75" hidden="1">
      <c r="B16" s="173" t="s">
        <v>310</v>
      </c>
      <c r="C16" s="604" t="s">
        <v>272</v>
      </c>
      <c r="D16" s="600"/>
      <c r="E16" s="600"/>
      <c r="F16" s="600"/>
      <c r="G16" s="600"/>
      <c r="H16" s="600"/>
      <c r="I16" s="600"/>
      <c r="J16" s="600"/>
      <c r="K16" s="600"/>
      <c r="L16" s="600"/>
      <c r="M16" s="601"/>
    </row>
    <row r="17" spans="2:13" ht="12.75" hidden="1">
      <c r="B17" s="174" t="str">
        <f>B3</f>
        <v>Shirdi Nagar Panchyat Street Light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2:13" ht="12.75" hidden="1">
      <c r="B18" s="174"/>
      <c r="C18" s="602" t="s">
        <v>222</v>
      </c>
      <c r="D18" s="602"/>
      <c r="E18" s="602"/>
      <c r="F18" s="602"/>
      <c r="G18" s="602"/>
      <c r="H18" s="602"/>
      <c r="I18" s="602"/>
      <c r="J18" s="602"/>
      <c r="K18" s="602"/>
      <c r="L18" s="602"/>
      <c r="M18" s="603"/>
    </row>
    <row r="19" spans="2:13" ht="12.75" hidden="1">
      <c r="B19" s="175" t="s">
        <v>223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1"/>
    </row>
    <row r="20" spans="2:13" ht="12.75" hidden="1">
      <c r="B20" s="175" t="s">
        <v>224</v>
      </c>
      <c r="C20" s="89"/>
      <c r="D20" s="89">
        <f aca="true" t="shared" si="1" ref="D20:D25">D6</f>
        <v>1</v>
      </c>
      <c r="E20" s="89">
        <f aca="true" t="shared" si="2" ref="E20:M20">E6</f>
        <v>2</v>
      </c>
      <c r="F20" s="89">
        <f t="shared" si="2"/>
        <v>3</v>
      </c>
      <c r="G20" s="89">
        <f t="shared" si="2"/>
        <v>4</v>
      </c>
      <c r="H20" s="89">
        <f t="shared" si="2"/>
        <v>5</v>
      </c>
      <c r="I20" s="89">
        <f t="shared" si="2"/>
        <v>6</v>
      </c>
      <c r="J20" s="89">
        <f t="shared" si="2"/>
        <v>7</v>
      </c>
      <c r="K20" s="89">
        <f t="shared" si="2"/>
        <v>8</v>
      </c>
      <c r="L20" s="89">
        <f t="shared" si="2"/>
        <v>9</v>
      </c>
      <c r="M20" s="91">
        <f t="shared" si="2"/>
        <v>10</v>
      </c>
    </row>
    <row r="21" spans="2:13" ht="12.75" hidden="1">
      <c r="B21" s="172" t="s">
        <v>230</v>
      </c>
      <c r="C21" s="89"/>
      <c r="D21" s="89">
        <f t="shared" si="1"/>
        <v>-129.39631683349612</v>
      </c>
      <c r="E21" s="89"/>
      <c r="F21" s="89"/>
      <c r="G21" s="89"/>
      <c r="H21" s="89"/>
      <c r="I21" s="89"/>
      <c r="J21" s="89"/>
      <c r="K21" s="89"/>
      <c r="L21" s="89"/>
      <c r="M21" s="91"/>
    </row>
    <row r="22" spans="2:13" ht="12.75" hidden="1">
      <c r="B22" s="176" t="s">
        <v>32</v>
      </c>
      <c r="C22" s="89"/>
      <c r="D22" s="90">
        <f t="shared" si="1"/>
        <v>4.6332</v>
      </c>
      <c r="E22" s="90">
        <f aca="true" t="shared" si="3" ref="E22:M22">E8</f>
        <v>6.1776</v>
      </c>
      <c r="F22" s="90">
        <f t="shared" si="3"/>
        <v>6.1776</v>
      </c>
      <c r="G22" s="90">
        <f t="shared" si="3"/>
        <v>6.1776</v>
      </c>
      <c r="H22" s="90">
        <f t="shared" si="3"/>
        <v>6.1776</v>
      </c>
      <c r="I22" s="90">
        <f t="shared" si="3"/>
        <v>6.1776</v>
      </c>
      <c r="J22" s="90">
        <f t="shared" si="3"/>
        <v>6.1776</v>
      </c>
      <c r="K22" s="90">
        <f t="shared" si="3"/>
        <v>6.1776</v>
      </c>
      <c r="L22" s="90">
        <f t="shared" si="3"/>
        <v>6.1776</v>
      </c>
      <c r="M22" s="92">
        <f t="shared" si="3"/>
        <v>6.1776</v>
      </c>
    </row>
    <row r="23" spans="2:13" ht="12.75" hidden="1">
      <c r="B23" s="176" t="s">
        <v>102</v>
      </c>
      <c r="C23" s="89"/>
      <c r="D23" s="90">
        <f t="shared" si="1"/>
        <v>0</v>
      </c>
      <c r="E23" s="90">
        <f aca="true" t="shared" si="4" ref="E23:M23">E9</f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90">
        <f t="shared" si="4"/>
        <v>0</v>
      </c>
      <c r="M23" s="92">
        <f t="shared" si="4"/>
        <v>0</v>
      </c>
    </row>
    <row r="24" spans="2:13" ht="12.75" hidden="1">
      <c r="B24" s="176" t="s">
        <v>103</v>
      </c>
      <c r="C24" s="89"/>
      <c r="D24" s="90">
        <f t="shared" si="1"/>
        <v>6.560172355551469</v>
      </c>
      <c r="E24" s="90">
        <f aca="true" t="shared" si="5" ref="E24:M24">E10</f>
        <v>7.0140207575078595</v>
      </c>
      <c r="F24" s="90">
        <f t="shared" si="5"/>
        <v>5.0335913671527</v>
      </c>
      <c r="G24" s="90">
        <f t="shared" si="5"/>
        <v>3.053161976797539</v>
      </c>
      <c r="H24" s="90">
        <f t="shared" si="5"/>
        <v>1.0727325864423787</v>
      </c>
      <c r="I24" s="90">
        <f t="shared" si="5"/>
        <v>0</v>
      </c>
      <c r="J24" s="90">
        <f t="shared" si="5"/>
        <v>0</v>
      </c>
      <c r="K24" s="90">
        <f t="shared" si="5"/>
        <v>0</v>
      </c>
      <c r="L24" s="90">
        <f t="shared" si="5"/>
        <v>0</v>
      </c>
      <c r="M24" s="92">
        <f t="shared" si="5"/>
        <v>0</v>
      </c>
    </row>
    <row r="25" spans="2:13" ht="12.75" hidden="1">
      <c r="B25" s="177" t="s">
        <v>39</v>
      </c>
      <c r="C25" s="89"/>
      <c r="D25" s="90">
        <f t="shared" si="1"/>
        <v>13.393528128498819</v>
      </c>
      <c r="E25" s="90">
        <f aca="true" t="shared" si="6" ref="E25:M25">E11</f>
        <v>8.112424670225842</v>
      </c>
      <c r="F25" s="90">
        <f t="shared" si="6"/>
        <v>10.548636812799339</v>
      </c>
      <c r="G25" s="90">
        <f t="shared" si="6"/>
        <v>12.911937974123209</v>
      </c>
      <c r="H25" s="90">
        <f t="shared" si="6"/>
        <v>14.461404878277456</v>
      </c>
      <c r="I25" s="90">
        <f t="shared" si="6"/>
        <v>15.111250846098121</v>
      </c>
      <c r="J25" s="90">
        <f t="shared" si="6"/>
        <v>15.664646666778964</v>
      </c>
      <c r="K25" s="90">
        <f t="shared" si="6"/>
        <v>14.6337495563372</v>
      </c>
      <c r="L25" s="90">
        <f t="shared" si="6"/>
        <v>15.675695055881082</v>
      </c>
      <c r="M25" s="92">
        <f t="shared" si="6"/>
        <v>16.78824612399068</v>
      </c>
    </row>
    <row r="26" spans="2:13" ht="12.75" hidden="1">
      <c r="B26" s="176" t="s">
        <v>225</v>
      </c>
      <c r="C26" s="89"/>
      <c r="D26" s="90">
        <f>SUM(D21:D25)</f>
        <v>-104.80941634944583</v>
      </c>
      <c r="E26" s="90">
        <f aca="true" t="shared" si="7" ref="E26:M26">SUM(E21:E25)</f>
        <v>21.3040454277337</v>
      </c>
      <c r="F26" s="90">
        <f t="shared" si="7"/>
        <v>21.759828179952038</v>
      </c>
      <c r="G26" s="90">
        <f t="shared" si="7"/>
        <v>22.142699950920747</v>
      </c>
      <c r="H26" s="90">
        <f t="shared" si="7"/>
        <v>21.711737464719835</v>
      </c>
      <c r="I26" s="90">
        <f t="shared" si="7"/>
        <v>21.28885084609812</v>
      </c>
      <c r="J26" s="90">
        <f t="shared" si="7"/>
        <v>21.842246666778962</v>
      </c>
      <c r="K26" s="90">
        <f t="shared" si="7"/>
        <v>20.8113495563372</v>
      </c>
      <c r="L26" s="90">
        <f t="shared" si="7"/>
        <v>21.853295055881084</v>
      </c>
      <c r="M26" s="92">
        <f t="shared" si="7"/>
        <v>22.96584612399068</v>
      </c>
    </row>
    <row r="27" spans="2:13" ht="13.5" hidden="1" thickBot="1">
      <c r="B27" s="178" t="s">
        <v>226</v>
      </c>
      <c r="C27" s="104">
        <f>NPV(WACC!$B$21,D26:M26)</f>
        <v>15.352957173057739</v>
      </c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ht="12.75" hidden="1"/>
  </sheetData>
  <sheetProtection password="DAD4" sheet="1"/>
  <mergeCells count="4">
    <mergeCell ref="C2:M2"/>
    <mergeCell ref="C4:M4"/>
    <mergeCell ref="C16:M16"/>
    <mergeCell ref="C18:M18"/>
  </mergeCells>
  <printOptions/>
  <pageMargins left="0.7" right="0.7" top="0.75" bottom="0.75" header="0.3" footer="0.3"/>
  <pageSetup horizontalDpi="600" verticalDpi="600" orientation="portrait" r:id="rId1"/>
  <headerFooter>
    <oddHeader xml:space="preserve">&amp;CPartial Risk Gurantee for Energy Efficiency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63"/>
  <sheetViews>
    <sheetView workbookViewId="0" topLeftCell="A16">
      <selection activeCell="B11" sqref="B11"/>
    </sheetView>
  </sheetViews>
  <sheetFormatPr defaultColWidth="0" defaultRowHeight="12.75"/>
  <cols>
    <col min="1" max="1" width="8.7109375" style="496" bestFit="1" customWidth="1"/>
    <col min="2" max="2" width="40.7109375" style="555" customWidth="1"/>
    <col min="3" max="3" width="15.7109375" style="555" customWidth="1"/>
    <col min="4" max="4" width="15.7109375" style="496" customWidth="1"/>
    <col min="5" max="5" width="27.7109375" style="496" bestFit="1" customWidth="1"/>
    <col min="6" max="6" width="28.28125" style="496" bestFit="1" customWidth="1"/>
    <col min="7" max="7" width="15.421875" style="496" customWidth="1"/>
    <col min="8" max="8" width="11.28125" style="496" hidden="1" customWidth="1"/>
    <col min="9" max="9" width="10.421875" style="496" hidden="1" customWidth="1"/>
    <col min="10" max="10" width="11.28125" style="496" hidden="1" customWidth="1"/>
    <col min="11" max="11" width="10.421875" style="496" hidden="1" customWidth="1"/>
    <col min="12" max="16384" width="5.28125" style="496" hidden="1" customWidth="1"/>
  </cols>
  <sheetData>
    <row r="1" spans="2:6" ht="12.75">
      <c r="B1" s="568" t="s">
        <v>220</v>
      </c>
      <c r="C1" s="569"/>
      <c r="D1" s="569"/>
      <c r="E1" s="569"/>
      <c r="F1" s="570"/>
    </row>
    <row r="2" spans="1:6" ht="12.75">
      <c r="A2" s="497" t="s">
        <v>327</v>
      </c>
      <c r="B2" s="571"/>
      <c r="C2" s="572"/>
      <c r="D2" s="572"/>
      <c r="E2" s="572"/>
      <c r="F2" s="573"/>
    </row>
    <row r="3" spans="1:6" ht="12.75">
      <c r="A3" s="496">
        <v>1</v>
      </c>
      <c r="B3" s="609" t="s">
        <v>0</v>
      </c>
      <c r="C3" s="574" t="s">
        <v>253</v>
      </c>
      <c r="D3" s="574"/>
      <c r="E3" s="574"/>
      <c r="F3" s="575"/>
    </row>
    <row r="4" spans="1:6" ht="12.75">
      <c r="A4" s="496">
        <v>2</v>
      </c>
      <c r="B4" s="609" t="s">
        <v>1</v>
      </c>
      <c r="C4" s="574" t="s">
        <v>439</v>
      </c>
      <c r="D4" s="574"/>
      <c r="E4" s="574"/>
      <c r="F4" s="575"/>
    </row>
    <row r="5" spans="2:6" ht="12.75">
      <c r="B5" s="610"/>
      <c r="C5" s="498" t="s">
        <v>169</v>
      </c>
      <c r="D5" s="498" t="s">
        <v>168</v>
      </c>
      <c r="E5" s="578"/>
      <c r="F5" s="579"/>
    </row>
    <row r="6" spans="1:6" ht="12.75">
      <c r="A6" s="496">
        <v>3</v>
      </c>
      <c r="B6" s="609" t="s">
        <v>392</v>
      </c>
      <c r="C6" s="499">
        <v>114</v>
      </c>
      <c r="D6" s="498"/>
      <c r="E6" s="576"/>
      <c r="F6" s="577"/>
    </row>
    <row r="7" spans="1:6" ht="12.75">
      <c r="A7" s="496">
        <v>4</v>
      </c>
      <c r="B7" s="609" t="s">
        <v>167</v>
      </c>
      <c r="C7" s="391">
        <v>1</v>
      </c>
      <c r="D7" s="498">
        <f>C7/365*$C$35</f>
        <v>1</v>
      </c>
      <c r="E7" s="499"/>
      <c r="F7" s="500"/>
    </row>
    <row r="8" spans="2:6" ht="12.75">
      <c r="B8" s="611" t="s">
        <v>82</v>
      </c>
      <c r="C8" s="391">
        <v>1</v>
      </c>
      <c r="D8" s="498">
        <f>C8/365*$C$35</f>
        <v>1</v>
      </c>
      <c r="E8" s="499"/>
      <c r="F8" s="500"/>
    </row>
    <row r="9" spans="2:6" ht="12.75">
      <c r="B9" s="612" t="s">
        <v>81</v>
      </c>
      <c r="C9" s="391">
        <v>1</v>
      </c>
      <c r="D9" s="498">
        <f>C9/365*$C$35</f>
        <v>1</v>
      </c>
      <c r="E9" s="576"/>
      <c r="F9" s="577"/>
    </row>
    <row r="10" spans="2:6" ht="12.75">
      <c r="B10" s="609"/>
      <c r="C10" s="501"/>
      <c r="D10" s="502"/>
      <c r="E10" s="499"/>
      <c r="F10" s="500"/>
    </row>
    <row r="11" spans="2:8" ht="12.75">
      <c r="B11" s="609" t="s">
        <v>128</v>
      </c>
      <c r="C11" s="499" t="s">
        <v>130</v>
      </c>
      <c r="D11" s="502"/>
      <c r="E11" s="499"/>
      <c r="F11" s="503"/>
      <c r="H11" s="504" t="s">
        <v>130</v>
      </c>
    </row>
    <row r="12" spans="2:8" ht="12.75">
      <c r="B12" s="609" t="s">
        <v>129</v>
      </c>
      <c r="C12" s="499" t="s">
        <v>101</v>
      </c>
      <c r="D12" s="502"/>
      <c r="E12" s="499"/>
      <c r="F12" s="503"/>
      <c r="H12" s="504" t="s">
        <v>138</v>
      </c>
    </row>
    <row r="13" spans="2:8" ht="12.75">
      <c r="B13" s="609" t="s">
        <v>137</v>
      </c>
      <c r="C13" s="502">
        <v>0</v>
      </c>
      <c r="D13" s="502"/>
      <c r="E13" s="499"/>
      <c r="F13" s="505"/>
      <c r="H13" s="504" t="s">
        <v>139</v>
      </c>
    </row>
    <row r="14" spans="2:8" ht="12.75">
      <c r="B14" s="609"/>
      <c r="C14" s="506"/>
      <c r="D14" s="502"/>
      <c r="E14" s="499"/>
      <c r="F14" s="505"/>
      <c r="H14" s="504" t="s">
        <v>140</v>
      </c>
    </row>
    <row r="15" spans="1:8" ht="12.75">
      <c r="A15" s="496">
        <v>5</v>
      </c>
      <c r="B15" s="609" t="s">
        <v>141</v>
      </c>
      <c r="C15" s="499">
        <f>'Capital Cost '!C24</f>
        <v>129.39631683349612</v>
      </c>
      <c r="D15" s="507" t="str">
        <f>CONCATENATE(C11," ",C12)</f>
        <v>INR Lacs</v>
      </c>
      <c r="E15" s="499"/>
      <c r="F15" s="505"/>
      <c r="H15" s="504" t="s">
        <v>101</v>
      </c>
    </row>
    <row r="16" spans="1:8" ht="12.75">
      <c r="A16" s="496">
        <v>6</v>
      </c>
      <c r="B16" s="609" t="s">
        <v>2</v>
      </c>
      <c r="C16" s="508">
        <f>1-C17</f>
        <v>0.4</v>
      </c>
      <c r="D16" s="502"/>
      <c r="E16" s="499"/>
      <c r="F16" s="505"/>
      <c r="H16" s="504" t="s">
        <v>147</v>
      </c>
    </row>
    <row r="17" spans="1:6" ht="12.75">
      <c r="A17" s="496">
        <v>7</v>
      </c>
      <c r="B17" s="609" t="s">
        <v>3</v>
      </c>
      <c r="C17" s="392">
        <v>0.6</v>
      </c>
      <c r="D17" s="502"/>
      <c r="E17" s="499"/>
      <c r="F17" s="500"/>
    </row>
    <row r="18" spans="2:6" ht="12.75">
      <c r="B18" s="609"/>
      <c r="C18" s="506"/>
      <c r="D18" s="502"/>
      <c r="E18" s="499"/>
      <c r="F18" s="500"/>
    </row>
    <row r="19" spans="2:6" ht="12.75">
      <c r="B19" s="609" t="s">
        <v>18</v>
      </c>
      <c r="C19" s="509">
        <f>'Capital Cost '!C21</f>
        <v>54.14000000000001</v>
      </c>
      <c r="D19" s="507" t="str">
        <f>CONCATENATE(C11," ",C12)</f>
        <v>INR Lacs</v>
      </c>
      <c r="E19" s="499"/>
      <c r="F19" s="500"/>
    </row>
    <row r="20" spans="2:6" ht="12.75">
      <c r="B20" s="609" t="s">
        <v>20</v>
      </c>
      <c r="C20" s="20">
        <f>'Capital Cost '!C22</f>
        <v>75.2563168334961</v>
      </c>
      <c r="D20" s="507" t="str">
        <f>CONCATENATE(C11," ",C12)</f>
        <v>INR Lacs</v>
      </c>
      <c r="E20" s="499"/>
      <c r="F20" s="500"/>
    </row>
    <row r="21" spans="2:6" ht="12.75">
      <c r="B21" s="609"/>
      <c r="C21" s="506"/>
      <c r="D21" s="499"/>
      <c r="E21" s="499"/>
      <c r="F21" s="500"/>
    </row>
    <row r="22" spans="1:6" ht="12.75">
      <c r="A22" s="496">
        <v>8</v>
      </c>
      <c r="B22" s="609" t="s">
        <v>143</v>
      </c>
      <c r="C22" s="393">
        <v>0.125</v>
      </c>
      <c r="D22" s="499" t="s">
        <v>417</v>
      </c>
      <c r="E22" s="499"/>
      <c r="F22" s="500"/>
    </row>
    <row r="23" spans="1:6" ht="12.75">
      <c r="A23" s="496">
        <v>9</v>
      </c>
      <c r="B23" s="609" t="s">
        <v>148</v>
      </c>
      <c r="C23" s="394">
        <v>3</v>
      </c>
      <c r="D23" s="499">
        <f>C23/12</f>
        <v>0.25</v>
      </c>
      <c r="E23" s="510" t="s">
        <v>293</v>
      </c>
      <c r="F23" s="500"/>
    </row>
    <row r="24" spans="1:6" ht="12.75">
      <c r="A24" s="496">
        <v>10</v>
      </c>
      <c r="B24" s="609" t="s">
        <v>149</v>
      </c>
      <c r="C24" s="394">
        <v>3</v>
      </c>
      <c r="D24" s="511"/>
      <c r="E24" s="499"/>
      <c r="F24" s="500"/>
    </row>
    <row r="25" spans="2:6" ht="12.75">
      <c r="B25" s="609" t="s">
        <v>161</v>
      </c>
      <c r="C25" s="509"/>
      <c r="D25" s="499"/>
      <c r="E25" s="499"/>
      <c r="F25" s="500"/>
    </row>
    <row r="26" spans="1:6" ht="12.75">
      <c r="A26" s="496">
        <v>11</v>
      </c>
      <c r="B26" s="609" t="s">
        <v>163</v>
      </c>
      <c r="C26" s="394">
        <v>60</v>
      </c>
      <c r="D26" s="499"/>
      <c r="E26" s="499"/>
      <c r="F26" s="500"/>
    </row>
    <row r="27" spans="1:6" ht="12.75">
      <c r="A27" s="496">
        <v>12</v>
      </c>
      <c r="B27" s="609" t="s">
        <v>162</v>
      </c>
      <c r="C27" s="509">
        <f>C26-C25</f>
        <v>60</v>
      </c>
      <c r="D27" s="499"/>
      <c r="E27" s="499"/>
      <c r="F27" s="500"/>
    </row>
    <row r="28" spans="2:6" ht="12.75">
      <c r="B28" s="609"/>
      <c r="C28" s="506"/>
      <c r="D28" s="499"/>
      <c r="E28" s="499"/>
      <c r="F28" s="500"/>
    </row>
    <row r="29" spans="1:6" ht="12.75">
      <c r="A29" s="496">
        <v>13</v>
      </c>
      <c r="B29" s="609" t="s">
        <v>232</v>
      </c>
      <c r="C29" s="499">
        <f>D153/1000</f>
        <v>529.64274</v>
      </c>
      <c r="D29" s="512" t="s">
        <v>393</v>
      </c>
      <c r="E29" s="499"/>
      <c r="F29" s="500"/>
    </row>
    <row r="30" spans="1:6" ht="12.75">
      <c r="A30" s="496">
        <v>14</v>
      </c>
      <c r="B30" s="609" t="s">
        <v>233</v>
      </c>
      <c r="C30" s="395">
        <v>0</v>
      </c>
      <c r="D30" s="499" t="s">
        <v>234</v>
      </c>
      <c r="E30" s="499"/>
      <c r="F30" s="500"/>
    </row>
    <row r="31" spans="2:6" ht="12.75">
      <c r="B31" s="609"/>
      <c r="C31" s="506"/>
      <c r="D31" s="499"/>
      <c r="E31" s="499"/>
      <c r="F31" s="500"/>
    </row>
    <row r="32" spans="1:6" ht="12.75">
      <c r="A32" s="496">
        <v>15</v>
      </c>
      <c r="B32" s="609" t="s">
        <v>379</v>
      </c>
      <c r="C32" s="396">
        <v>4.92</v>
      </c>
      <c r="D32" s="499"/>
      <c r="E32" s="499"/>
      <c r="F32" s="500"/>
    </row>
    <row r="33" spans="1:6" ht="12.75">
      <c r="A33" s="496">
        <v>16</v>
      </c>
      <c r="B33" s="613" t="s">
        <v>132</v>
      </c>
      <c r="C33" s="625">
        <v>0.03</v>
      </c>
      <c r="D33" s="499"/>
      <c r="E33" s="499"/>
      <c r="F33" s="500"/>
    </row>
    <row r="34" spans="2:6" ht="12.75">
      <c r="B34" s="609"/>
      <c r="C34" s="506"/>
      <c r="D34" s="499"/>
      <c r="E34" s="499"/>
      <c r="F34" s="500"/>
    </row>
    <row r="35" spans="1:6" ht="12.75">
      <c r="A35" s="496">
        <v>17</v>
      </c>
      <c r="B35" s="609" t="s">
        <v>142</v>
      </c>
      <c r="C35" s="394">
        <v>365</v>
      </c>
      <c r="D35" s="499"/>
      <c r="E35" s="499"/>
      <c r="F35" s="500"/>
    </row>
    <row r="36" spans="1:6" ht="12.75">
      <c r="A36" s="496">
        <v>18</v>
      </c>
      <c r="B36" s="609" t="s">
        <v>4</v>
      </c>
      <c r="C36" s="394">
        <v>12</v>
      </c>
      <c r="D36" s="499"/>
      <c r="E36" s="499"/>
      <c r="F36" s="500"/>
    </row>
    <row r="37" spans="2:6" ht="12.75">
      <c r="B37" s="609"/>
      <c r="C37" s="506"/>
      <c r="D37" s="499"/>
      <c r="E37" s="499"/>
      <c r="F37" s="500"/>
    </row>
    <row r="38" spans="1:6" ht="12.75">
      <c r="A38" s="496">
        <v>19</v>
      </c>
      <c r="B38" s="609" t="s">
        <v>5</v>
      </c>
      <c r="C38" s="397">
        <v>0.0075</v>
      </c>
      <c r="D38" s="499"/>
      <c r="E38" s="499"/>
      <c r="F38" s="500"/>
    </row>
    <row r="39" spans="2:6" ht="12.75">
      <c r="B39" s="609" t="s">
        <v>80</v>
      </c>
      <c r="C39" s="106"/>
      <c r="D39" s="499"/>
      <c r="E39" s="499"/>
      <c r="F39" s="500"/>
    </row>
    <row r="40" spans="2:6" ht="12.75">
      <c r="B40" s="613" t="s">
        <v>6</v>
      </c>
      <c r="C40" s="397">
        <v>0.05</v>
      </c>
      <c r="D40" s="499"/>
      <c r="E40" s="499"/>
      <c r="F40" s="500"/>
    </row>
    <row r="41" spans="2:6" ht="12.75">
      <c r="B41" s="609"/>
      <c r="C41" s="506"/>
      <c r="D41" s="499"/>
      <c r="E41" s="499"/>
      <c r="F41" s="500"/>
    </row>
    <row r="42" spans="1:6" ht="12.75">
      <c r="A42" s="496">
        <v>20</v>
      </c>
      <c r="B42" s="609" t="s">
        <v>7</v>
      </c>
      <c r="C42" s="397">
        <v>0.0075</v>
      </c>
      <c r="D42" s="499"/>
      <c r="E42" s="499"/>
      <c r="F42" s="500"/>
    </row>
    <row r="43" spans="2:6" ht="12.75">
      <c r="B43" s="609" t="s">
        <v>80</v>
      </c>
      <c r="C43" s="106"/>
      <c r="D43" s="499"/>
      <c r="E43" s="499"/>
      <c r="F43" s="500"/>
    </row>
    <row r="44" spans="2:6" ht="12.75">
      <c r="B44" s="613" t="s">
        <v>6</v>
      </c>
      <c r="C44" s="398">
        <v>0.01</v>
      </c>
      <c r="D44" s="499"/>
      <c r="E44" s="499"/>
      <c r="F44" s="500"/>
    </row>
    <row r="45" spans="2:6" ht="12.75">
      <c r="B45" s="613"/>
      <c r="C45" s="499"/>
      <c r="D45" s="499"/>
      <c r="E45" s="499"/>
      <c r="F45" s="500"/>
    </row>
    <row r="46" spans="1:6" ht="12.75">
      <c r="A46" s="496">
        <v>21</v>
      </c>
      <c r="B46" s="613" t="s">
        <v>324</v>
      </c>
      <c r="C46" s="399">
        <v>1</v>
      </c>
      <c r="D46" s="499" t="s">
        <v>326</v>
      </c>
      <c r="E46" s="499"/>
      <c r="F46" s="500"/>
    </row>
    <row r="47" spans="2:6" ht="12.75">
      <c r="B47" s="613" t="s">
        <v>325</v>
      </c>
      <c r="C47" s="499"/>
      <c r="D47" s="499"/>
      <c r="E47" s="499"/>
      <c r="F47" s="500"/>
    </row>
    <row r="48" spans="2:6" ht="12.75">
      <c r="B48" s="609"/>
      <c r="C48" s="506"/>
      <c r="D48" s="499"/>
      <c r="E48" s="499"/>
      <c r="F48" s="500"/>
    </row>
    <row r="49" spans="1:6" ht="12.75">
      <c r="A49" s="496">
        <v>22</v>
      </c>
      <c r="B49" s="614" t="s">
        <v>109</v>
      </c>
      <c r="C49" s="513" t="s">
        <v>110</v>
      </c>
      <c r="D49" s="514" t="s">
        <v>112</v>
      </c>
      <c r="E49" s="514" t="s">
        <v>6</v>
      </c>
      <c r="F49" s="500"/>
    </row>
    <row r="50" spans="2:6" ht="12.75">
      <c r="B50" s="615" t="s">
        <v>171</v>
      </c>
      <c r="C50" s="499"/>
      <c r="D50" s="499" t="s">
        <v>130</v>
      </c>
      <c r="E50" s="499"/>
      <c r="F50" s="500"/>
    </row>
    <row r="51" spans="2:7" ht="12.75">
      <c r="B51" s="609"/>
      <c r="C51" s="400"/>
      <c r="D51" s="401"/>
      <c r="E51" s="402"/>
      <c r="F51" s="515"/>
      <c r="G51" s="516"/>
    </row>
    <row r="52" spans="2:7" ht="12.75">
      <c r="B52" s="609" t="s">
        <v>174</v>
      </c>
      <c r="C52" s="400">
        <v>1</v>
      </c>
      <c r="D52" s="401">
        <v>20000</v>
      </c>
      <c r="E52" s="402">
        <v>0.1</v>
      </c>
      <c r="F52" s="515">
        <v>0.3</v>
      </c>
      <c r="G52" s="516"/>
    </row>
    <row r="53" spans="2:7" ht="12.75">
      <c r="B53" s="609" t="s">
        <v>444</v>
      </c>
      <c r="C53" s="400">
        <v>2</v>
      </c>
      <c r="D53" s="401">
        <v>15000</v>
      </c>
      <c r="E53" s="402">
        <v>0.1</v>
      </c>
      <c r="F53" s="515">
        <v>0.05</v>
      </c>
      <c r="G53" s="516">
        <v>80</v>
      </c>
    </row>
    <row r="54" spans="2:7" ht="12.75">
      <c r="B54" s="609" t="s">
        <v>175</v>
      </c>
      <c r="C54" s="400">
        <v>2</v>
      </c>
      <c r="D54" s="401">
        <v>12000</v>
      </c>
      <c r="E54" s="402">
        <v>0.1</v>
      </c>
      <c r="F54" s="515">
        <v>0.05</v>
      </c>
      <c r="G54" s="516"/>
    </row>
    <row r="55" spans="2:7" ht="12.75">
      <c r="B55" s="609" t="s">
        <v>176</v>
      </c>
      <c r="C55" s="400">
        <v>3</v>
      </c>
      <c r="D55" s="401">
        <v>12000</v>
      </c>
      <c r="E55" s="402">
        <v>0.1</v>
      </c>
      <c r="F55" s="500"/>
      <c r="G55" s="516"/>
    </row>
    <row r="56" spans="2:7" ht="12.75">
      <c r="B56" s="609" t="s">
        <v>177</v>
      </c>
      <c r="C56" s="400">
        <v>4</v>
      </c>
      <c r="D56" s="401">
        <v>8000</v>
      </c>
      <c r="E56" s="402">
        <v>0.1</v>
      </c>
      <c r="F56" s="515">
        <v>0.05</v>
      </c>
      <c r="G56" s="516">
        <f>SUM(D52:D61)</f>
        <v>83000</v>
      </c>
    </row>
    <row r="57" spans="2:7" ht="12.75">
      <c r="B57" s="609" t="s">
        <v>254</v>
      </c>
      <c r="C57" s="400">
        <v>2</v>
      </c>
      <c r="D57" s="403">
        <v>6000</v>
      </c>
      <c r="E57" s="402">
        <v>0.1</v>
      </c>
      <c r="F57" s="500"/>
      <c r="G57" s="516">
        <f>G56*12</f>
        <v>996000</v>
      </c>
    </row>
    <row r="58" spans="2:7" ht="12.75">
      <c r="B58" s="615" t="s">
        <v>179</v>
      </c>
      <c r="C58" s="400"/>
      <c r="D58" s="401"/>
      <c r="E58" s="402">
        <v>0.1</v>
      </c>
      <c r="F58" s="500"/>
      <c r="G58" s="516">
        <f>G57/10^5</f>
        <v>9.96</v>
      </c>
    </row>
    <row r="59" spans="2:7" ht="12.75">
      <c r="B59" s="609" t="s">
        <v>113</v>
      </c>
      <c r="C59" s="400">
        <v>1</v>
      </c>
      <c r="D59" s="401">
        <f>($C$141*F59)/12*0</f>
        <v>0</v>
      </c>
      <c r="E59" s="402">
        <v>0.1</v>
      </c>
      <c r="F59" s="515">
        <v>0.25</v>
      </c>
      <c r="G59" s="516"/>
    </row>
    <row r="60" spans="2:7" ht="12.75">
      <c r="B60" s="609" t="s">
        <v>178</v>
      </c>
      <c r="C60" s="400">
        <v>1</v>
      </c>
      <c r="D60" s="401">
        <f>($C$141*F60)/12*0</f>
        <v>0</v>
      </c>
      <c r="E60" s="402">
        <v>0.1</v>
      </c>
      <c r="F60" s="515">
        <v>0.15</v>
      </c>
      <c r="G60" s="516"/>
    </row>
    <row r="61" spans="2:7" ht="12.75">
      <c r="B61" s="609" t="s">
        <v>114</v>
      </c>
      <c r="C61" s="400">
        <v>1</v>
      </c>
      <c r="D61" s="401">
        <v>10000</v>
      </c>
      <c r="E61" s="402">
        <v>0.1</v>
      </c>
      <c r="F61" s="515">
        <v>0.15</v>
      </c>
      <c r="G61" s="516"/>
    </row>
    <row r="62" spans="2:6" ht="12.75">
      <c r="B62" s="609"/>
      <c r="C62" s="105"/>
      <c r="D62" s="106"/>
      <c r="E62" s="107"/>
      <c r="F62" s="500"/>
    </row>
    <row r="63" spans="1:6" ht="12.75">
      <c r="A63" s="496">
        <v>23</v>
      </c>
      <c r="B63" s="615" t="s">
        <v>116</v>
      </c>
      <c r="C63" s="499" t="s">
        <v>135</v>
      </c>
      <c r="D63" s="499" t="s">
        <v>123</v>
      </c>
      <c r="E63" s="499" t="s">
        <v>124</v>
      </c>
      <c r="F63" s="500"/>
    </row>
    <row r="64" spans="2:7" ht="12.75">
      <c r="B64" s="609" t="s">
        <v>117</v>
      </c>
      <c r="C64" s="403">
        <v>1</v>
      </c>
      <c r="D64" s="401">
        <f>$C$142*F64*0.25</f>
        <v>0.058496400000000004</v>
      </c>
      <c r="E64" s="404">
        <v>0</v>
      </c>
      <c r="F64" s="515">
        <v>0.1</v>
      </c>
      <c r="G64" s="516"/>
    </row>
    <row r="65" spans="2:7" ht="12.75">
      <c r="B65" s="609" t="s">
        <v>118</v>
      </c>
      <c r="C65" s="403">
        <v>1</v>
      </c>
      <c r="D65" s="401">
        <f>$C$142*F65*0.5</f>
        <v>0.23398560000000002</v>
      </c>
      <c r="E65" s="404">
        <v>0</v>
      </c>
      <c r="F65" s="515">
        <v>0.2</v>
      </c>
      <c r="G65" s="516"/>
    </row>
    <row r="66" spans="2:7" ht="12.75">
      <c r="B66" s="609" t="s">
        <v>119</v>
      </c>
      <c r="C66" s="403">
        <v>1</v>
      </c>
      <c r="D66" s="401">
        <f>$C$142*F66*0.25</f>
        <v>0.23398560000000002</v>
      </c>
      <c r="E66" s="404">
        <v>0.02</v>
      </c>
      <c r="F66" s="515">
        <v>0.4</v>
      </c>
      <c r="G66" s="516"/>
    </row>
    <row r="67" spans="2:7" ht="12.75">
      <c r="B67" s="609" t="s">
        <v>120</v>
      </c>
      <c r="C67" s="403">
        <v>1</v>
      </c>
      <c r="D67" s="401">
        <v>0</v>
      </c>
      <c r="E67" s="404">
        <v>0.015</v>
      </c>
      <c r="F67" s="515">
        <v>0.3</v>
      </c>
      <c r="G67" s="516"/>
    </row>
    <row r="68" spans="2:6" ht="12.75">
      <c r="B68" s="609" t="s">
        <v>121</v>
      </c>
      <c r="C68" s="403">
        <v>1</v>
      </c>
      <c r="D68" s="401"/>
      <c r="E68" s="404">
        <v>0</v>
      </c>
      <c r="F68" s="500"/>
    </row>
    <row r="69" spans="2:7" ht="12.75">
      <c r="B69" s="609"/>
      <c r="C69" s="403"/>
      <c r="D69" s="401"/>
      <c r="E69" s="404"/>
      <c r="F69" s="500"/>
      <c r="G69" s="516"/>
    </row>
    <row r="70" spans="2:7" ht="12.75">
      <c r="B70" s="609" t="s">
        <v>122</v>
      </c>
      <c r="C70" s="403">
        <v>0</v>
      </c>
      <c r="D70" s="401">
        <v>0</v>
      </c>
      <c r="E70" s="404">
        <v>0</v>
      </c>
      <c r="F70" s="500"/>
      <c r="G70" s="516"/>
    </row>
    <row r="71" spans="2:6" ht="12.75">
      <c r="B71" s="609"/>
      <c r="C71" s="506"/>
      <c r="D71" s="499"/>
      <c r="E71" s="499"/>
      <c r="F71" s="500"/>
    </row>
    <row r="72" spans="2:6" ht="12.75">
      <c r="B72" s="609"/>
      <c r="C72" s="506"/>
      <c r="D72" s="499"/>
      <c r="E72" s="499"/>
      <c r="F72" s="500"/>
    </row>
    <row r="73" spans="1:6" ht="12.75">
      <c r="A73" s="496">
        <v>24</v>
      </c>
      <c r="B73" s="609" t="s">
        <v>170</v>
      </c>
      <c r="C73" s="517">
        <f>E74*(1+E75)*(1+E76)</f>
        <v>0.209605</v>
      </c>
      <c r="D73" s="566" t="s">
        <v>297</v>
      </c>
      <c r="E73" s="566"/>
      <c r="F73" s="567"/>
    </row>
    <row r="74" spans="2:6" ht="12.75">
      <c r="B74" s="609"/>
      <c r="C74" s="519"/>
      <c r="D74" s="518" t="s">
        <v>294</v>
      </c>
      <c r="E74" s="405">
        <v>0.185</v>
      </c>
      <c r="F74" s="500"/>
    </row>
    <row r="75" spans="2:6" ht="12.75">
      <c r="B75" s="609"/>
      <c r="C75" s="519"/>
      <c r="D75" s="518" t="s">
        <v>295</v>
      </c>
      <c r="E75" s="405">
        <v>0.1</v>
      </c>
      <c r="F75" s="500"/>
    </row>
    <row r="76" spans="2:6" ht="63.75">
      <c r="B76" s="609"/>
      <c r="C76" s="519"/>
      <c r="D76" s="520" t="s">
        <v>296</v>
      </c>
      <c r="E76" s="405">
        <v>0.03</v>
      </c>
      <c r="F76" s="500"/>
    </row>
    <row r="77" spans="2:6" ht="12.75">
      <c r="B77" s="609"/>
      <c r="C77" s="519"/>
      <c r="D77" s="499"/>
      <c r="E77" s="499"/>
      <c r="F77" s="500"/>
    </row>
    <row r="78" spans="1:6" ht="12.75">
      <c r="A78" s="496">
        <v>25</v>
      </c>
      <c r="B78" s="609" t="s">
        <v>136</v>
      </c>
      <c r="C78" s="521">
        <f>E79*(1+E80)*(1+E81)</f>
        <v>0.33990000000000004</v>
      </c>
      <c r="D78" s="522" t="s">
        <v>136</v>
      </c>
      <c r="E78" s="499"/>
      <c r="F78" s="500"/>
    </row>
    <row r="79" spans="2:6" ht="12.75">
      <c r="B79" s="609"/>
      <c r="C79" s="519"/>
      <c r="D79" s="518" t="s">
        <v>294</v>
      </c>
      <c r="E79" s="404">
        <v>0.3</v>
      </c>
      <c r="F79" s="523"/>
    </row>
    <row r="80" spans="2:6" ht="12.75">
      <c r="B80" s="609"/>
      <c r="C80" s="519"/>
      <c r="D80" s="518" t="s">
        <v>295</v>
      </c>
      <c r="E80" s="404">
        <v>0.1</v>
      </c>
      <c r="F80" s="500"/>
    </row>
    <row r="81" spans="2:6" ht="63.75">
      <c r="B81" s="609"/>
      <c r="C81" s="519"/>
      <c r="D81" s="520" t="s">
        <v>296</v>
      </c>
      <c r="E81" s="404">
        <v>0.03</v>
      </c>
      <c r="F81" s="500"/>
    </row>
    <row r="82" spans="2:6" ht="12.75">
      <c r="B82" s="609"/>
      <c r="C82" s="519"/>
      <c r="D82" s="499"/>
      <c r="E82" s="499"/>
      <c r="F82" s="500"/>
    </row>
    <row r="83" spans="1:8" ht="12.75">
      <c r="A83" s="496">
        <v>26</v>
      </c>
      <c r="B83" s="609" t="s">
        <v>150</v>
      </c>
      <c r="C83" s="565" t="s">
        <v>151</v>
      </c>
      <c r="D83" s="565"/>
      <c r="E83" s="565"/>
      <c r="F83" s="524"/>
      <c r="H83" s="496" t="s">
        <v>151</v>
      </c>
    </row>
    <row r="84" spans="2:8" ht="12.75">
      <c r="B84" s="614" t="s">
        <v>153</v>
      </c>
      <c r="C84" s="525" t="s">
        <v>151</v>
      </c>
      <c r="D84" s="526" t="s">
        <v>152</v>
      </c>
      <c r="E84" s="499"/>
      <c r="F84" s="524"/>
      <c r="H84" s="496" t="s">
        <v>152</v>
      </c>
    </row>
    <row r="85" spans="2:6" ht="12.75">
      <c r="B85" s="609" t="s">
        <v>14</v>
      </c>
      <c r="C85" s="564">
        <v>0.0163</v>
      </c>
      <c r="D85" s="564">
        <v>0.05</v>
      </c>
      <c r="E85" s="499"/>
      <c r="F85" s="524"/>
    </row>
    <row r="86" spans="2:6" ht="12.75">
      <c r="B86" s="609" t="s">
        <v>95</v>
      </c>
      <c r="C86" s="564">
        <v>0.0528</v>
      </c>
      <c r="D86" s="564">
        <v>0.1533</v>
      </c>
      <c r="E86" s="499"/>
      <c r="F86" s="524"/>
    </row>
    <row r="87" spans="2:6" ht="12.75">
      <c r="B87" s="609" t="s">
        <v>98</v>
      </c>
      <c r="C87" s="564">
        <v>0.0528</v>
      </c>
      <c r="D87" s="564">
        <v>0.1533</v>
      </c>
      <c r="E87" s="499"/>
      <c r="F87" s="524"/>
    </row>
    <row r="88" spans="2:6" ht="12.75">
      <c r="B88" s="609"/>
      <c r="C88" s="506"/>
      <c r="D88" s="499"/>
      <c r="E88" s="499"/>
      <c r="F88" s="524"/>
    </row>
    <row r="89" spans="1:7" s="530" customFormat="1" ht="12.75">
      <c r="A89" s="527">
        <v>27</v>
      </c>
      <c r="B89" s="616" t="s">
        <v>144</v>
      </c>
      <c r="C89" s="528"/>
      <c r="D89" s="528"/>
      <c r="E89" s="528"/>
      <c r="F89" s="529"/>
      <c r="G89" s="527"/>
    </row>
    <row r="90" spans="1:7" s="530" customFormat="1" ht="12.75">
      <c r="A90" s="527"/>
      <c r="B90" s="616"/>
      <c r="C90" s="528" t="s">
        <v>145</v>
      </c>
      <c r="D90" s="528"/>
      <c r="E90" s="528"/>
      <c r="F90" s="529"/>
      <c r="G90" s="527"/>
    </row>
    <row r="91" spans="1:7" s="530" customFormat="1" ht="12.75">
      <c r="A91" s="527"/>
      <c r="B91" s="616" t="s">
        <v>146</v>
      </c>
      <c r="C91" s="528"/>
      <c r="D91" s="528"/>
      <c r="E91" s="528"/>
      <c r="F91" s="505"/>
      <c r="G91" s="527"/>
    </row>
    <row r="92" spans="1:7" s="530" customFormat="1" ht="12.75">
      <c r="A92" s="527"/>
      <c r="B92" s="609" t="str">
        <f>'Work Cap'!B7</f>
        <v>Cost of Material </v>
      </c>
      <c r="C92" s="406">
        <v>1</v>
      </c>
      <c r="D92" s="528"/>
      <c r="E92" s="528"/>
      <c r="F92" s="505"/>
      <c r="G92" s="527"/>
    </row>
    <row r="93" spans="1:7" s="530" customFormat="1" ht="12.75">
      <c r="A93" s="527"/>
      <c r="B93" s="609" t="str">
        <f>'Work Cap'!B8</f>
        <v>Operating &amp; Maintenance Cost</v>
      </c>
      <c r="C93" s="406">
        <v>1</v>
      </c>
      <c r="D93" s="528"/>
      <c r="E93" s="528"/>
      <c r="F93" s="505"/>
      <c r="G93" s="527"/>
    </row>
    <row r="94" spans="1:7" s="530" customFormat="1" ht="12.75">
      <c r="A94" s="527"/>
      <c r="B94" s="609" t="str">
        <f>'Work Cap'!B9</f>
        <v>Insurance Cost</v>
      </c>
      <c r="C94" s="406">
        <v>1</v>
      </c>
      <c r="D94" s="528"/>
      <c r="E94" s="528"/>
      <c r="F94" s="505"/>
      <c r="G94" s="527"/>
    </row>
    <row r="95" spans="1:7" s="530" customFormat="1" ht="12.75">
      <c r="A95" s="527"/>
      <c r="B95" s="609" t="str">
        <f>'Work Cap'!B10</f>
        <v>Personnel Cost</v>
      </c>
      <c r="C95" s="406">
        <v>1</v>
      </c>
      <c r="D95" s="528"/>
      <c r="E95" s="528"/>
      <c r="F95" s="505"/>
      <c r="G95" s="527"/>
    </row>
    <row r="96" spans="1:7" s="530" customFormat="1" ht="12.75">
      <c r="A96" s="527"/>
      <c r="B96" s="609" t="str">
        <f>'Work Cap'!B11</f>
        <v>Administrative Cost</v>
      </c>
      <c r="C96" s="406">
        <v>1</v>
      </c>
      <c r="D96" s="528"/>
      <c r="E96" s="528"/>
      <c r="F96" s="505"/>
      <c r="G96" s="527"/>
    </row>
    <row r="97" spans="2:6" ht="12.75">
      <c r="B97" s="609"/>
      <c r="C97" s="20"/>
      <c r="D97" s="528"/>
      <c r="E97" s="528"/>
      <c r="F97" s="505"/>
    </row>
    <row r="98" spans="2:6" ht="12.75">
      <c r="B98" s="617"/>
      <c r="C98" s="20"/>
      <c r="D98" s="528"/>
      <c r="E98" s="528"/>
      <c r="F98" s="505"/>
    </row>
    <row r="99" spans="1:6" ht="12.75">
      <c r="A99" s="496">
        <v>28</v>
      </c>
      <c r="B99" s="617" t="s">
        <v>97</v>
      </c>
      <c r="C99" s="407">
        <v>0.05</v>
      </c>
      <c r="D99" s="528"/>
      <c r="E99" s="528"/>
      <c r="F99" s="505"/>
    </row>
    <row r="100" spans="2:6" ht="12.75">
      <c r="B100" s="609"/>
      <c r="C100" s="531"/>
      <c r="D100" s="528"/>
      <c r="E100" s="528"/>
      <c r="F100" s="505"/>
    </row>
    <row r="101" spans="1:6" ht="12.75">
      <c r="A101" s="496">
        <v>29</v>
      </c>
      <c r="B101" s="609" t="s">
        <v>255</v>
      </c>
      <c r="C101" s="532">
        <f>C22+2%</f>
        <v>0.145</v>
      </c>
      <c r="D101" s="533">
        <f>C101*(1-C78)</f>
        <v>0.09571449999999998</v>
      </c>
      <c r="E101" s="534" t="s">
        <v>273</v>
      </c>
      <c r="F101" s="505"/>
    </row>
    <row r="102" spans="2:6" ht="12.75">
      <c r="B102" s="616"/>
      <c r="C102" s="528"/>
      <c r="D102" s="528"/>
      <c r="E102" s="528"/>
      <c r="F102" s="529"/>
    </row>
    <row r="103" spans="1:6" ht="12.75">
      <c r="A103" s="496">
        <v>30</v>
      </c>
      <c r="B103" s="616" t="s">
        <v>274</v>
      </c>
      <c r="C103" s="532">
        <v>0.084254</v>
      </c>
      <c r="D103" s="528"/>
      <c r="E103" s="528"/>
      <c r="F103" s="529"/>
    </row>
    <row r="104" spans="2:6" ht="12.75">
      <c r="B104" s="616" t="s">
        <v>275</v>
      </c>
      <c r="C104" s="528"/>
      <c r="D104" s="528"/>
      <c r="E104" s="528"/>
      <c r="F104" s="529"/>
    </row>
    <row r="105" spans="2:6" ht="12.75">
      <c r="B105" s="616"/>
      <c r="C105" s="528"/>
      <c r="D105" s="528"/>
      <c r="E105" s="528"/>
      <c r="F105" s="529"/>
    </row>
    <row r="106" spans="1:6" ht="12.75">
      <c r="A106" s="496">
        <v>31</v>
      </c>
      <c r="B106" s="616" t="s">
        <v>264</v>
      </c>
      <c r="C106" s="535">
        <v>1</v>
      </c>
      <c r="D106" s="528"/>
      <c r="E106" s="528"/>
      <c r="F106" s="529"/>
    </row>
    <row r="107" spans="2:6" ht="12.75">
      <c r="B107" s="616"/>
      <c r="C107" s="528"/>
      <c r="D107" s="528"/>
      <c r="E107" s="528"/>
      <c r="F107" s="529"/>
    </row>
    <row r="108" spans="1:6" ht="12.75">
      <c r="A108" s="496">
        <v>32</v>
      </c>
      <c r="B108" s="616" t="s">
        <v>276</v>
      </c>
      <c r="C108" s="532">
        <v>0.1425</v>
      </c>
      <c r="D108" s="528"/>
      <c r="E108" s="528"/>
      <c r="F108" s="529"/>
    </row>
    <row r="109" spans="2:6" ht="12.75">
      <c r="B109" s="616" t="s">
        <v>277</v>
      </c>
      <c r="C109" s="528"/>
      <c r="D109" s="528"/>
      <c r="E109" s="506"/>
      <c r="F109" s="529"/>
    </row>
    <row r="110" spans="2:6" ht="12.75">
      <c r="B110" s="609"/>
      <c r="C110" s="506"/>
      <c r="D110" s="506"/>
      <c r="E110" s="506"/>
      <c r="F110" s="536"/>
    </row>
    <row r="111" spans="1:6" ht="12.75">
      <c r="A111" s="496">
        <v>33</v>
      </c>
      <c r="B111" s="609" t="s">
        <v>307</v>
      </c>
      <c r="C111" s="624">
        <v>0.01</v>
      </c>
      <c r="D111" s="534"/>
      <c r="E111" s="534"/>
      <c r="F111" s="536"/>
    </row>
    <row r="112" spans="2:6" ht="12.75">
      <c r="B112" s="618" t="s">
        <v>80</v>
      </c>
      <c r="C112" s="506"/>
      <c r="D112" s="506"/>
      <c r="E112" s="506"/>
      <c r="F112" s="536"/>
    </row>
    <row r="113" spans="2:6" ht="12.75">
      <c r="B113" s="618" t="s">
        <v>311</v>
      </c>
      <c r="C113" s="506">
        <v>0.825</v>
      </c>
      <c r="D113" s="506"/>
      <c r="E113" s="506"/>
      <c r="F113" s="536"/>
    </row>
    <row r="114" spans="2:6" ht="25.5">
      <c r="B114" s="619" t="s">
        <v>247</v>
      </c>
      <c r="C114" s="506"/>
      <c r="D114" s="506"/>
      <c r="E114" s="506"/>
      <c r="F114" s="536"/>
    </row>
    <row r="115" spans="1:6" ht="12.75">
      <c r="A115" s="496">
        <v>34</v>
      </c>
      <c r="B115" s="620" t="s">
        <v>313</v>
      </c>
      <c r="C115" s="406">
        <v>114</v>
      </c>
      <c r="D115" s="499"/>
      <c r="E115" s="499"/>
      <c r="F115" s="500"/>
    </row>
    <row r="116" spans="1:6" ht="12.75">
      <c r="A116" s="496">
        <v>35</v>
      </c>
      <c r="B116" s="620" t="s">
        <v>349</v>
      </c>
      <c r="C116" s="406">
        <f>D132+D133+D134+D135</f>
        <v>2352</v>
      </c>
      <c r="D116" s="499"/>
      <c r="E116" s="499"/>
      <c r="F116" s="500"/>
    </row>
    <row r="117" spans="2:6" ht="12.75">
      <c r="B117" s="620"/>
      <c r="C117" s="499"/>
      <c r="D117" s="499"/>
      <c r="E117" s="499"/>
      <c r="F117" s="500"/>
    </row>
    <row r="118" spans="1:6" ht="12.75">
      <c r="A118" s="496">
        <v>36</v>
      </c>
      <c r="B118" s="616" t="s">
        <v>357</v>
      </c>
      <c r="C118" s="537">
        <v>10</v>
      </c>
      <c r="D118" s="506" t="s">
        <v>353</v>
      </c>
      <c r="E118" s="506"/>
      <c r="F118" s="536"/>
    </row>
    <row r="119" spans="1:6" ht="29.25" customHeight="1">
      <c r="A119" s="496">
        <v>37</v>
      </c>
      <c r="B119" s="621" t="s">
        <v>358</v>
      </c>
      <c r="C119" s="623">
        <v>0.75</v>
      </c>
      <c r="D119" s="499"/>
      <c r="E119" s="499"/>
      <c r="F119" s="500"/>
    </row>
    <row r="120" spans="1:6" ht="13.5" thickBot="1">
      <c r="A120" s="496">
        <v>38</v>
      </c>
      <c r="B120" s="622" t="s">
        <v>359</v>
      </c>
      <c r="C120" s="538">
        <v>0.1</v>
      </c>
      <c r="D120" s="539"/>
      <c r="E120" s="539"/>
      <c r="F120" s="540"/>
    </row>
    <row r="123" spans="2:6" ht="12.75">
      <c r="B123" s="541" t="s">
        <v>426</v>
      </c>
      <c r="C123" s="542"/>
      <c r="D123" s="543"/>
      <c r="E123" s="543"/>
      <c r="F123" s="543"/>
    </row>
    <row r="124" spans="2:6" ht="12.75">
      <c r="B124" s="542"/>
      <c r="C124" s="542"/>
      <c r="D124" s="543"/>
      <c r="E124" s="543"/>
      <c r="F124" s="543"/>
    </row>
    <row r="125" spans="2:6" ht="12.75">
      <c r="B125" s="544" t="s">
        <v>391</v>
      </c>
      <c r="C125" s="544" t="s">
        <v>382</v>
      </c>
      <c r="D125" s="544" t="s">
        <v>383</v>
      </c>
      <c r="E125" s="545" t="s">
        <v>386</v>
      </c>
      <c r="F125" s="545"/>
    </row>
    <row r="126" spans="2:6" ht="12.75">
      <c r="B126" s="546" t="s">
        <v>423</v>
      </c>
      <c r="C126" s="547" t="s">
        <v>381</v>
      </c>
      <c r="D126" s="546"/>
      <c r="E126" s="548">
        <v>11699280</v>
      </c>
      <c r="F126" s="545">
        <f>E126/10^5</f>
        <v>116.9928</v>
      </c>
    </row>
    <row r="127" spans="2:6" ht="12.75">
      <c r="B127" s="546" t="s">
        <v>404</v>
      </c>
      <c r="C127" s="547" t="s">
        <v>381</v>
      </c>
      <c r="D127" s="546"/>
      <c r="E127" s="548">
        <v>1754892</v>
      </c>
      <c r="F127" s="545">
        <f>E127/10^5</f>
        <v>17.54892</v>
      </c>
    </row>
    <row r="128" spans="2:6" ht="12.75">
      <c r="B128" s="546" t="s">
        <v>425</v>
      </c>
      <c r="C128" s="547" t="s">
        <v>381</v>
      </c>
      <c r="D128" s="546"/>
      <c r="E128" s="548">
        <v>584964</v>
      </c>
      <c r="F128" s="545">
        <f>E128/10^5</f>
        <v>5.84964</v>
      </c>
    </row>
    <row r="129" spans="2:6" ht="12.75">
      <c r="B129" s="544" t="s">
        <v>74</v>
      </c>
      <c r="C129" s="549" t="s">
        <v>381</v>
      </c>
      <c r="D129" s="544"/>
      <c r="E129" s="550">
        <f>SUM(E126:E128)</f>
        <v>14039136</v>
      </c>
      <c r="F129" s="551" t="s">
        <v>438</v>
      </c>
    </row>
    <row r="130" spans="2:6" ht="12.75">
      <c r="B130" s="544"/>
      <c r="C130" s="549"/>
      <c r="D130" s="544"/>
      <c r="E130" s="544"/>
      <c r="F130" s="548"/>
    </row>
    <row r="131" spans="2:6" ht="12.75">
      <c r="B131" s="541" t="s">
        <v>380</v>
      </c>
      <c r="C131" s="549"/>
      <c r="D131" s="544"/>
      <c r="E131" s="544" t="s">
        <v>424</v>
      </c>
      <c r="F131" s="548"/>
    </row>
    <row r="132" spans="2:6" ht="12.75">
      <c r="B132" s="552" t="s">
        <v>434</v>
      </c>
      <c r="C132" s="547" t="s">
        <v>384</v>
      </c>
      <c r="D132" s="546">
        <v>82</v>
      </c>
      <c r="E132" s="545">
        <v>150</v>
      </c>
      <c r="F132" s="545" t="s">
        <v>385</v>
      </c>
    </row>
    <row r="133" spans="2:6" ht="12.75">
      <c r="B133" s="552" t="s">
        <v>435</v>
      </c>
      <c r="C133" s="547" t="s">
        <v>384</v>
      </c>
      <c r="D133" s="546">
        <v>796</v>
      </c>
      <c r="E133" s="545">
        <v>90</v>
      </c>
      <c r="F133" s="545" t="s">
        <v>385</v>
      </c>
    </row>
    <row r="134" spans="2:6" ht="12.75">
      <c r="B134" s="552" t="s">
        <v>436</v>
      </c>
      <c r="C134" s="547" t="s">
        <v>384</v>
      </c>
      <c r="D134" s="546">
        <v>610</v>
      </c>
      <c r="E134" s="545">
        <v>50</v>
      </c>
      <c r="F134" s="545" t="s">
        <v>385</v>
      </c>
    </row>
    <row r="135" spans="2:6" ht="12.75">
      <c r="B135" s="552" t="s">
        <v>437</v>
      </c>
      <c r="C135" s="547" t="s">
        <v>384</v>
      </c>
      <c r="D135" s="546">
        <v>864</v>
      </c>
      <c r="E135" s="545">
        <v>18</v>
      </c>
      <c r="F135" s="545" t="s">
        <v>385</v>
      </c>
    </row>
    <row r="136" spans="2:6" ht="12.75">
      <c r="B136" s="546"/>
      <c r="C136" s="547" t="s">
        <v>74</v>
      </c>
      <c r="D136" s="546">
        <f>SUM(D132:D135)</f>
        <v>2352</v>
      </c>
      <c r="E136" s="545"/>
      <c r="F136" s="545"/>
    </row>
    <row r="137" spans="2:6" ht="12.75">
      <c r="B137" s="542"/>
      <c r="C137" s="542"/>
      <c r="D137" s="543"/>
      <c r="E137" s="543"/>
      <c r="F137" s="543"/>
    </row>
    <row r="138" spans="2:6" ht="12.75">
      <c r="B138" s="542"/>
      <c r="C138" s="542"/>
      <c r="D138" s="543"/>
      <c r="E138" s="543"/>
      <c r="F138" s="543"/>
    </row>
    <row r="139" spans="2:6" ht="12.75">
      <c r="B139" s="542"/>
      <c r="C139" s="542"/>
      <c r="D139" s="543"/>
      <c r="E139" s="543"/>
      <c r="F139" s="543"/>
    </row>
    <row r="140" spans="2:6" ht="12.75">
      <c r="B140" s="553" t="s">
        <v>387</v>
      </c>
      <c r="C140" s="553" t="s">
        <v>390</v>
      </c>
      <c r="D140" s="545"/>
      <c r="E140" s="543"/>
      <c r="F140" s="543"/>
    </row>
    <row r="141" spans="2:6" ht="12.75">
      <c r="B141" s="553" t="s">
        <v>388</v>
      </c>
      <c r="C141" s="553">
        <f>F128*60%</f>
        <v>3.509784</v>
      </c>
      <c r="D141" s="554">
        <v>0.6</v>
      </c>
      <c r="E141" s="543"/>
      <c r="F141" s="543"/>
    </row>
    <row r="142" spans="2:6" ht="12.75">
      <c r="B142" s="553" t="s">
        <v>389</v>
      </c>
      <c r="C142" s="553">
        <f>F128-C141</f>
        <v>2.339856</v>
      </c>
      <c r="D142" s="554">
        <v>0.4</v>
      </c>
      <c r="E142" s="543"/>
      <c r="F142" s="543"/>
    </row>
    <row r="143" spans="2:6" ht="12.75">
      <c r="B143" s="542"/>
      <c r="C143" s="542"/>
      <c r="D143" s="543"/>
      <c r="E143" s="543"/>
      <c r="F143" s="543"/>
    </row>
    <row r="145" ht="12.75">
      <c r="C145" s="556"/>
    </row>
    <row r="146" spans="2:3" ht="12.75">
      <c r="B146" s="557" t="s">
        <v>422</v>
      </c>
      <c r="C146" s="556"/>
    </row>
    <row r="147" spans="2:3" ht="12.75">
      <c r="B147" s="496"/>
      <c r="C147" s="496"/>
    </row>
    <row r="148" spans="2:5" ht="12.75">
      <c r="B148" s="496" t="s">
        <v>251</v>
      </c>
      <c r="C148" s="496" t="s">
        <v>431</v>
      </c>
      <c r="D148" s="496" t="s">
        <v>432</v>
      </c>
      <c r="E148" s="496" t="s">
        <v>433</v>
      </c>
    </row>
    <row r="149" spans="2:5" ht="12.75">
      <c r="B149" s="496">
        <v>1</v>
      </c>
      <c r="C149" s="496" t="s">
        <v>434</v>
      </c>
      <c r="D149" s="558">
        <v>60908.28000000001</v>
      </c>
      <c r="E149" s="558">
        <v>2867414.0045766593</v>
      </c>
    </row>
    <row r="150" spans="2:5" ht="12.75">
      <c r="B150" s="496">
        <v>2</v>
      </c>
      <c r="C150" s="496" t="s">
        <v>435</v>
      </c>
      <c r="D150" s="558">
        <v>61065.960000000036</v>
      </c>
      <c r="E150" s="558">
        <v>2914753.3867276893</v>
      </c>
    </row>
    <row r="151" spans="2:5" ht="12.75">
      <c r="B151" s="496">
        <v>3</v>
      </c>
      <c r="C151" s="496" t="s">
        <v>436</v>
      </c>
      <c r="D151" s="558">
        <v>115399.85999999997</v>
      </c>
      <c r="E151" s="558">
        <v>2119500</v>
      </c>
    </row>
    <row r="152" spans="2:5" ht="12.75">
      <c r="B152" s="496">
        <v>4</v>
      </c>
      <c r="C152" s="496" t="s">
        <v>437</v>
      </c>
      <c r="D152" s="558">
        <v>292268.64</v>
      </c>
      <c r="E152" s="558">
        <v>1668867.528604119</v>
      </c>
    </row>
    <row r="153" spans="2:5" ht="12.75">
      <c r="B153" s="496"/>
      <c r="C153" s="496" t="s">
        <v>74</v>
      </c>
      <c r="D153" s="558">
        <v>529642.74</v>
      </c>
      <c r="E153" s="558">
        <v>9570534.919908468</v>
      </c>
    </row>
    <row r="154" spans="2:4" ht="12.75">
      <c r="B154" s="496"/>
      <c r="C154" s="496"/>
      <c r="D154" s="558"/>
    </row>
    <row r="155" spans="2:3" ht="12.75">
      <c r="B155" s="496"/>
      <c r="C155" s="496"/>
    </row>
    <row r="158" ht="12.75">
      <c r="B158" s="557" t="s">
        <v>427</v>
      </c>
    </row>
    <row r="160" spans="2:3" ht="12.75">
      <c r="B160" s="559" t="s">
        <v>428</v>
      </c>
      <c r="C160" s="560" t="s">
        <v>429</v>
      </c>
    </row>
    <row r="161" spans="2:3" ht="12.75">
      <c r="B161" s="559" t="s">
        <v>79</v>
      </c>
      <c r="C161" s="561">
        <f>IRR!A9</f>
        <v>0.14642656498615692</v>
      </c>
    </row>
    <row r="162" spans="2:3" ht="12.75">
      <c r="B162" s="559" t="s">
        <v>226</v>
      </c>
      <c r="C162" s="562">
        <f>NPV!C13</f>
        <v>20.384013281669116</v>
      </c>
    </row>
    <row r="163" spans="2:3" ht="12.75">
      <c r="B163" s="559" t="s">
        <v>430</v>
      </c>
      <c r="C163" s="563">
        <f>DSCR!C28</f>
        <v>1.1964632809137095</v>
      </c>
    </row>
  </sheetData>
  <sheetProtection password="DAD4" sheet="1"/>
  <mergeCells count="8">
    <mergeCell ref="C83:E83"/>
    <mergeCell ref="D73:F73"/>
    <mergeCell ref="B1:F2"/>
    <mergeCell ref="C3:F3"/>
    <mergeCell ref="C4:F4"/>
    <mergeCell ref="E6:F6"/>
    <mergeCell ref="E9:F9"/>
    <mergeCell ref="E5:F5"/>
  </mergeCells>
  <dataValidations count="6">
    <dataValidation type="whole" allowBlank="1" showInputMessage="1" showErrorMessage="1" promptTitle="Total End-to-End tenure" prompt="Should be more than total moratorium period and maximum of 120 months." sqref="C26">
      <formula1>C25+1</formula1>
      <formula2>120</formula2>
    </dataValidation>
    <dataValidation type="list" allowBlank="1" showInputMessage="1" showErrorMessage="1" sqref="C83">
      <formula1>$H$83:$H$84</formula1>
    </dataValidation>
    <dataValidation errorStyle="information" showErrorMessage="1" errorTitle="Input" error="Please input 'Lacs' or 'Million' or 'Crores'" sqref="D12:E13 C13"/>
    <dataValidation type="list" showInputMessage="1" showErrorMessage="1" sqref="C11">
      <formula1>$H$11:$H$12</formula1>
    </dataValidation>
    <dataValidation allowBlank="1" showInputMessage="1" showErrorMessage="1" promptTitle="Project Cost" prompt="Please input detailed break-up of Project Cost in the &quot;Capex Details&quot; sheet." sqref="C15"/>
    <dataValidation errorStyle="information" type="list" showErrorMessage="1" errorTitle="Input" error="Please input 'Lacs' or 'Million' or 'Crores'" sqref="C12">
      <formula1>$H$13:$H$16</formula1>
    </dataValidation>
  </dataValidations>
  <printOptions/>
  <pageMargins left="0.7" right="0.7" top="0.75" bottom="0.75" header="0.3" footer="0.3"/>
  <pageSetup fitToHeight="2" fitToWidth="2" horizontalDpi="600" verticalDpi="600" orientation="portrait" paperSize="9" r:id="rId3"/>
  <headerFooter>
    <oddHeader xml:space="preserve">&amp;CPartial Risk Gurantee for Energy Efficiency </oddHeader>
  </headerFooter>
  <rowBreaks count="1" manualBreakCount="1">
    <brk id="62" min="1" max="5" man="1"/>
  </rowBreaks>
  <ignoredErrors>
    <ignoredError sqref="C27 D58 D59:D60 D62:D63 D66" unlocked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6" workbookViewId="0" topLeftCell="A1">
      <selection activeCell="G23" sqref="G23"/>
    </sheetView>
  </sheetViews>
  <sheetFormatPr defaultColWidth="9.140625" defaultRowHeight="12.75"/>
  <cols>
    <col min="1" max="1" width="28.7109375" style="0" bestFit="1" customWidth="1"/>
    <col min="2" max="2" width="13.7109375" style="0" bestFit="1" customWidth="1"/>
    <col min="3" max="12" width="10.00390625" style="0" bestFit="1" customWidth="1"/>
  </cols>
  <sheetData>
    <row r="1" spans="1:12" ht="12.75">
      <c r="A1" s="95" t="str">
        <f>Parameters!C3</f>
        <v>Darashaw &amp; Co.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1"/>
    </row>
    <row r="2" spans="1:12" ht="12.75">
      <c r="A2" s="96" t="str">
        <f>Parameters!C4</f>
        <v>Shirdi Nagar Panchyat Street Light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2.75">
      <c r="A3" s="97"/>
      <c r="B3" s="605" t="s">
        <v>227</v>
      </c>
      <c r="C3" s="605"/>
      <c r="D3" s="605"/>
      <c r="E3" s="605"/>
      <c r="F3" s="605"/>
      <c r="G3" s="605"/>
      <c r="H3" s="605"/>
      <c r="I3" s="605"/>
      <c r="J3" s="605"/>
      <c r="K3" s="605"/>
      <c r="L3" s="606"/>
    </row>
    <row r="4" spans="1:12" ht="12.75">
      <c r="A4" s="97" t="s">
        <v>228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1"/>
    </row>
    <row r="5" spans="1:12" ht="12.75">
      <c r="A5" s="97"/>
      <c r="B5" s="89" t="s">
        <v>65</v>
      </c>
      <c r="C5" s="89">
        <f>Saving!D7</f>
        <v>1</v>
      </c>
      <c r="D5" s="89">
        <f>Saving!E7</f>
        <v>2</v>
      </c>
      <c r="E5" s="89">
        <f>Saving!F7</f>
        <v>3</v>
      </c>
      <c r="F5" s="89">
        <f>Saving!G7</f>
        <v>4</v>
      </c>
      <c r="G5" s="89">
        <f>Saving!H7</f>
        <v>5</v>
      </c>
      <c r="H5" s="89">
        <f>Saving!I7</f>
        <v>6</v>
      </c>
      <c r="I5" s="89">
        <f>Saving!J7</f>
        <v>7</v>
      </c>
      <c r="J5" s="89">
        <f>Saving!K7</f>
        <v>8</v>
      </c>
      <c r="K5" s="89">
        <f>Saving!L7</f>
        <v>9</v>
      </c>
      <c r="L5" s="91">
        <f>Saving!M7</f>
        <v>10</v>
      </c>
    </row>
    <row r="6" spans="1:12" ht="12.75">
      <c r="A6" s="97" t="str">
        <f>'P&amp;L'!B22</f>
        <v>Depreciation</v>
      </c>
      <c r="B6" s="89"/>
      <c r="C6" s="90">
        <f>'P&amp;L'!C22</f>
        <v>4.6332</v>
      </c>
      <c r="D6" s="90">
        <f>'P&amp;L'!D22</f>
        <v>6.1776</v>
      </c>
      <c r="E6" s="90">
        <f>'P&amp;L'!E22</f>
        <v>6.1776</v>
      </c>
      <c r="F6" s="90">
        <f>'P&amp;L'!F22</f>
        <v>6.1776</v>
      </c>
      <c r="G6" s="90">
        <f>'P&amp;L'!G22</f>
        <v>6.1776</v>
      </c>
      <c r="H6" s="90">
        <f>'P&amp;L'!H22</f>
        <v>6.1776</v>
      </c>
      <c r="I6" s="90">
        <f>'P&amp;L'!I22</f>
        <v>6.1776</v>
      </c>
      <c r="J6" s="90">
        <f>'P&amp;L'!J22</f>
        <v>6.1776</v>
      </c>
      <c r="K6" s="90">
        <f>'P&amp;L'!K22</f>
        <v>6.1776</v>
      </c>
      <c r="L6" s="92">
        <f>'P&amp;L'!L22</f>
        <v>6.1776</v>
      </c>
    </row>
    <row r="7" spans="1:12" ht="12.75">
      <c r="A7" s="97" t="s">
        <v>229</v>
      </c>
      <c r="B7" s="89"/>
      <c r="C7" s="90">
        <f>'P&amp;L'!C32</f>
        <v>13.393528128498819</v>
      </c>
      <c r="D7" s="90">
        <f>'P&amp;L'!D32</f>
        <v>8.112424670225842</v>
      </c>
      <c r="E7" s="90">
        <f>'P&amp;L'!E32</f>
        <v>10.548636812799339</v>
      </c>
      <c r="F7" s="90">
        <f>'P&amp;L'!F32</f>
        <v>12.911937974123209</v>
      </c>
      <c r="G7" s="90">
        <f>'P&amp;L'!G32</f>
        <v>14.461404878277456</v>
      </c>
      <c r="H7" s="90">
        <f>'P&amp;L'!H32</f>
        <v>15.111250846098121</v>
      </c>
      <c r="I7" s="90">
        <f>'P&amp;L'!I32</f>
        <v>15.664646666778964</v>
      </c>
      <c r="J7" s="90">
        <f>'P&amp;L'!J32</f>
        <v>14.6337495563372</v>
      </c>
      <c r="K7" s="90">
        <f>'P&amp;L'!K32</f>
        <v>15.675695055881082</v>
      </c>
      <c r="L7" s="92">
        <f>'P&amp;L'!L32</f>
        <v>16.78824612399068</v>
      </c>
    </row>
    <row r="8" spans="1:12" ht="12.75">
      <c r="A8" s="97" t="s">
        <v>231</v>
      </c>
      <c r="B8" s="89"/>
      <c r="C8" s="90">
        <f>SUM(C6:C7)</f>
        <v>18.026728128498817</v>
      </c>
      <c r="D8" s="90">
        <f aca="true" t="shared" si="0" ref="D8:L8">SUM(D6:D7)</f>
        <v>14.290024670225842</v>
      </c>
      <c r="E8" s="90">
        <f t="shared" si="0"/>
        <v>16.72623681279934</v>
      </c>
      <c r="F8" s="90">
        <f t="shared" si="0"/>
        <v>19.08953797412321</v>
      </c>
      <c r="G8" s="90">
        <f t="shared" si="0"/>
        <v>20.639004878277454</v>
      </c>
      <c r="H8" s="90">
        <f t="shared" si="0"/>
        <v>21.28885084609812</v>
      </c>
      <c r="I8" s="90">
        <f t="shared" si="0"/>
        <v>21.842246666778962</v>
      </c>
      <c r="J8" s="90">
        <f t="shared" si="0"/>
        <v>20.8113495563372</v>
      </c>
      <c r="K8" s="90">
        <f t="shared" si="0"/>
        <v>21.853295055881084</v>
      </c>
      <c r="L8" s="92">
        <f t="shared" si="0"/>
        <v>22.96584612399068</v>
      </c>
    </row>
    <row r="9" spans="1:12" ht="13.5" thickBot="1">
      <c r="A9" s="100" t="s">
        <v>230</v>
      </c>
      <c r="B9" s="93"/>
      <c r="C9" s="101">
        <f>-'Capital Cost '!C24+C8</f>
        <v>-111.3695887049973</v>
      </c>
      <c r="D9" s="101">
        <f>C9+D8</f>
        <v>-97.07956403477145</v>
      </c>
      <c r="E9" s="101">
        <f aca="true" t="shared" si="1" ref="E9:L9">D9+E8</f>
        <v>-80.35332722197211</v>
      </c>
      <c r="F9" s="101">
        <f t="shared" si="1"/>
        <v>-61.2637892478489</v>
      </c>
      <c r="G9" s="101">
        <f t="shared" si="1"/>
        <v>-40.624784369571444</v>
      </c>
      <c r="H9" s="101">
        <f t="shared" si="1"/>
        <v>-19.335933523473322</v>
      </c>
      <c r="I9" s="101">
        <f t="shared" si="1"/>
        <v>2.50631314330564</v>
      </c>
      <c r="J9" s="101">
        <f>I9+J8</f>
        <v>23.317662699642838</v>
      </c>
      <c r="K9" s="101">
        <f t="shared" si="1"/>
        <v>45.17095775552392</v>
      </c>
      <c r="L9" s="101">
        <f t="shared" si="1"/>
        <v>68.1368038795146</v>
      </c>
    </row>
    <row r="12" ht="12.75">
      <c r="J12" s="472"/>
    </row>
    <row r="13" spans="3:10" ht="13.5" thickBot="1">
      <c r="C13" s="101">
        <f>-'Capital Cost '!C24</f>
        <v>-129.39631683349612</v>
      </c>
      <c r="J13" s="472"/>
    </row>
  </sheetData>
  <sheetProtection password="DAD4" sheet="1"/>
  <mergeCells count="2">
    <mergeCell ref="B1:L1"/>
    <mergeCell ref="B3:L3"/>
  </mergeCells>
  <printOptions/>
  <pageMargins left="0.7" right="0.7" top="0.75" bottom="0.75" header="0.3" footer="0.3"/>
  <pageSetup horizontalDpi="600" verticalDpi="600" orientation="portrait" r:id="rId1"/>
  <headerFooter>
    <oddHeader xml:space="preserve">&amp;CPartial Risk Gurantee for Energy Efficiency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N84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102" customWidth="1"/>
    <col min="2" max="2" width="37.7109375" style="102" customWidth="1"/>
    <col min="3" max="3" width="19.57421875" style="102" bestFit="1" customWidth="1"/>
    <col min="4" max="4" width="15.140625" style="102" customWidth="1"/>
    <col min="5" max="5" width="14.28125" style="102" bestFit="1" customWidth="1"/>
    <col min="6" max="13" width="12.00390625" style="102" bestFit="1" customWidth="1"/>
    <col min="14" max="14" width="23.7109375" style="102" customWidth="1"/>
    <col min="15" max="16384" width="9.140625" style="102" customWidth="1"/>
  </cols>
  <sheetData>
    <row r="2" ht="15.75">
      <c r="A2" s="339" t="s">
        <v>317</v>
      </c>
    </row>
    <row r="4" spans="1:3" ht="12.75">
      <c r="A4" s="607" t="s">
        <v>8</v>
      </c>
      <c r="B4" s="608"/>
      <c r="C4" s="608"/>
    </row>
    <row r="5" spans="1:3" ht="12.75">
      <c r="A5" s="188"/>
      <c r="B5" s="23"/>
      <c r="C5" s="186"/>
    </row>
    <row r="6" spans="1:3" ht="13.5" thickBot="1">
      <c r="A6" s="188"/>
      <c r="B6" s="318" t="s">
        <v>9</v>
      </c>
      <c r="C6" s="319" t="str">
        <f>CONCATENATE(Parameters!C11," ",Parameters!C12)</f>
        <v>INR Lacs</v>
      </c>
    </row>
    <row r="7" spans="1:4" ht="12.75">
      <c r="A7" s="298" t="s">
        <v>10</v>
      </c>
      <c r="B7" s="344" t="s">
        <v>11</v>
      </c>
      <c r="C7" s="361"/>
      <c r="D7" s="362" t="s">
        <v>12</v>
      </c>
    </row>
    <row r="8" spans="1:4" ht="12.75">
      <c r="A8" s="363">
        <v>1</v>
      </c>
      <c r="B8" s="192" t="s">
        <v>13</v>
      </c>
      <c r="C8" s="213"/>
      <c r="D8" s="364">
        <f>'Capital Cost '!C8</f>
        <v>0</v>
      </c>
    </row>
    <row r="9" spans="1:4" ht="12.75">
      <c r="A9" s="363">
        <v>2</v>
      </c>
      <c r="B9" s="192" t="s">
        <v>14</v>
      </c>
      <c r="C9" s="309"/>
      <c r="D9" s="364">
        <f>'Capital Cost '!C9</f>
        <v>0</v>
      </c>
    </row>
    <row r="10" spans="1:5" ht="12.75">
      <c r="A10" s="363">
        <v>3</v>
      </c>
      <c r="B10" s="192" t="s">
        <v>95</v>
      </c>
      <c r="C10" s="309"/>
      <c r="D10" s="364">
        <f>'Capital Cost '!C10</f>
        <v>117</v>
      </c>
      <c r="E10" s="332"/>
    </row>
    <row r="11" spans="1:5" ht="12.75">
      <c r="A11" s="363">
        <v>4</v>
      </c>
      <c r="B11" s="192" t="s">
        <v>323</v>
      </c>
      <c r="C11" s="309"/>
      <c r="D11" s="364">
        <f>'Capital Cost '!C14</f>
        <v>5.8500000000000005</v>
      </c>
      <c r="E11" s="332"/>
    </row>
    <row r="12" spans="1:4" ht="13.5" thickBot="1">
      <c r="A12" s="178"/>
      <c r="B12" s="365" t="s">
        <v>15</v>
      </c>
      <c r="C12" s="366"/>
      <c r="D12" s="367">
        <f>SUM(D8:D11)</f>
        <v>122.85</v>
      </c>
    </row>
    <row r="13" ht="12.75">
      <c r="A13" s="23"/>
    </row>
    <row r="14" ht="13.5" thickBot="1"/>
    <row r="15" spans="1:14" ht="13.5" thickBot="1">
      <c r="A15" s="251" t="str">
        <f>'Work Cap'!A1</f>
        <v>Darashaw &amp; Co.</v>
      </c>
      <c r="B15" s="180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22"/>
    </row>
    <row r="16" spans="1:14" ht="12.75">
      <c r="A16" s="251" t="str">
        <f>'Work Cap'!A2</f>
        <v>Shirdi Nagar Panchyat Street Light</v>
      </c>
      <c r="B16" s="23"/>
      <c r="C16" s="23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22"/>
    </row>
    <row r="17" spans="1:14" ht="12.75">
      <c r="A17" s="188"/>
      <c r="B17" s="23"/>
      <c r="C17" s="23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22"/>
    </row>
    <row r="18" spans="1:14" ht="13.5" thickBot="1">
      <c r="A18" s="252" t="s">
        <v>230</v>
      </c>
      <c r="B18" s="23"/>
      <c r="C18" s="338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22"/>
    </row>
    <row r="19" spans="2:14" ht="12.75">
      <c r="B19" s="298" t="s">
        <v>11</v>
      </c>
      <c r="C19" s="387" t="s">
        <v>131</v>
      </c>
      <c r="D19" s="388">
        <v>1</v>
      </c>
      <c r="E19" s="388">
        <v>2</v>
      </c>
      <c r="F19" s="388">
        <v>3</v>
      </c>
      <c r="G19" s="388">
        <v>4</v>
      </c>
      <c r="H19" s="388">
        <v>5</v>
      </c>
      <c r="I19" s="388">
        <v>6</v>
      </c>
      <c r="J19" s="388">
        <v>7</v>
      </c>
      <c r="K19" s="388">
        <v>8</v>
      </c>
      <c r="L19" s="388">
        <v>9</v>
      </c>
      <c r="M19" s="389">
        <v>10</v>
      </c>
      <c r="N19" s="22"/>
    </row>
    <row r="20" spans="1:14" ht="12.75">
      <c r="A20" s="169"/>
      <c r="B20" s="172" t="s">
        <v>318</v>
      </c>
      <c r="C20" s="170"/>
      <c r="D20" s="323">
        <f>D12</f>
        <v>122.85</v>
      </c>
      <c r="E20" s="170"/>
      <c r="F20" s="170"/>
      <c r="G20" s="170"/>
      <c r="H20" s="170"/>
      <c r="I20" s="170"/>
      <c r="J20" s="170"/>
      <c r="K20" s="192"/>
      <c r="L20" s="170"/>
      <c r="M20" s="348"/>
      <c r="N20" s="22"/>
    </row>
    <row r="21" spans="1:14" ht="12.75">
      <c r="A21" s="312"/>
      <c r="B21" s="433" t="s">
        <v>364</v>
      </c>
      <c r="C21" s="411"/>
      <c r="D21" s="434">
        <f>'P&amp;L'!C18-'P&amp;L'!C14</f>
        <v>7.755675981344067</v>
      </c>
      <c r="E21" s="434">
        <f>'P&amp;L'!D18-'P&amp;L'!D14</f>
        <v>8.875023888625204</v>
      </c>
      <c r="F21" s="434">
        <f>'P&amp;L'!E18-'P&amp;L'!E14</f>
        <v>9.339777800407976</v>
      </c>
      <c r="G21" s="434">
        <f>'P&amp;L'!F18-'P&amp;L'!F14</f>
        <v>9.842118506144185</v>
      </c>
      <c r="H21" s="434">
        <f>'P&amp;L'!G18-'P&amp;L'!G14</f>
        <v>10.385507146919611</v>
      </c>
      <c r="I21" s="434">
        <f>'P&amp;L'!H18-'P&amp;L'!H14</f>
        <v>10.973739802031016</v>
      </c>
      <c r="J21" s="434">
        <f>'P&amp;L'!I18-'P&amp;L'!I14</f>
        <v>11.610980527985603</v>
      </c>
      <c r="K21" s="434">
        <f>'P&amp;L'!J18-'P&amp;L'!J14</f>
        <v>12.30179768170801</v>
      </c>
      <c r="L21" s="434">
        <f>'P&amp;L'!K18-'P&amp;L'!K14</f>
        <v>13.051203855481525</v>
      </c>
      <c r="M21" s="434">
        <f>'P&amp;L'!L18-'P&amp;L'!L14</f>
        <v>13.864699783861468</v>
      </c>
      <c r="N21" s="22"/>
    </row>
    <row r="22" spans="1:14" ht="12.75">
      <c r="A22" s="312"/>
      <c r="B22" s="433" t="s">
        <v>363</v>
      </c>
      <c r="C22" s="411"/>
      <c r="D22" s="434">
        <f>'Oper Exp'!C26*Parameters!$C$119</f>
        <v>11.07</v>
      </c>
      <c r="E22" s="434">
        <f>'Oper Exp'!D26*Parameters!$C$119</f>
        <v>16.236</v>
      </c>
      <c r="F22" s="434">
        <f>'Oper Exp'!E26*Parameters!$C$119</f>
        <v>17.8596</v>
      </c>
      <c r="G22" s="434">
        <f>'Oper Exp'!F26*Parameters!$C$119</f>
        <v>19.645560000000003</v>
      </c>
      <c r="H22" s="434">
        <f>'Oper Exp'!G26*Parameters!$C$119</f>
        <v>21.610116</v>
      </c>
      <c r="I22" s="434">
        <f>'Oper Exp'!H26*Parameters!$C$119</f>
        <v>23.7711276</v>
      </c>
      <c r="J22" s="434">
        <f>'Oper Exp'!I26*Parameters!$C$119</f>
        <v>26.148240360000003</v>
      </c>
      <c r="K22" s="434">
        <f>'Oper Exp'!J26*Parameters!$C$119</f>
        <v>28.763064396</v>
      </c>
      <c r="L22" s="434">
        <f>'Oper Exp'!K26*Parameters!$C$119</f>
        <v>31.639370835600005</v>
      </c>
      <c r="M22" s="434">
        <f>'Oper Exp'!L26*Parameters!$C$119</f>
        <v>34.803307919160005</v>
      </c>
      <c r="N22" s="22"/>
    </row>
    <row r="23" spans="1:14" ht="12.75">
      <c r="A23" s="312"/>
      <c r="B23" s="176" t="s">
        <v>322</v>
      </c>
      <c r="C23" s="192"/>
      <c r="D23" s="386">
        <f>D56</f>
        <v>5.022726893999999</v>
      </c>
      <c r="E23" s="386">
        <f>E56</f>
        <v>-1.4918788080000005</v>
      </c>
      <c r="F23" s="386">
        <f>F56</f>
        <v>-1.4918788080000005</v>
      </c>
      <c r="G23" s="386">
        <f>G56</f>
        <v>-1.4918788080000005</v>
      </c>
      <c r="H23" s="386">
        <f aca="true" t="shared" si="0" ref="H23:M23">H56</f>
        <v>-1.4918788080000005</v>
      </c>
      <c r="I23" s="386">
        <f t="shared" si="0"/>
        <v>-1.4918788080000005</v>
      </c>
      <c r="J23" s="386">
        <f t="shared" si="0"/>
        <v>-1.4918788080000005</v>
      </c>
      <c r="K23" s="386">
        <f t="shared" si="0"/>
        <v>-1.4918788080000005</v>
      </c>
      <c r="L23" s="386">
        <f t="shared" si="0"/>
        <v>-1.4918788080000005</v>
      </c>
      <c r="M23" s="390">
        <f t="shared" si="0"/>
        <v>-1.4918788080000005</v>
      </c>
      <c r="N23" s="22"/>
    </row>
    <row r="24" spans="1:14" ht="13.5" thickBot="1">
      <c r="A24" s="188"/>
      <c r="B24" s="340" t="s">
        <v>320</v>
      </c>
      <c r="C24" s="341"/>
      <c r="D24" s="342">
        <f>SUM(D20:D23)</f>
        <v>146.69840287534404</v>
      </c>
      <c r="E24" s="342">
        <f>SUM(E20:E23)</f>
        <v>23.619145080625206</v>
      </c>
      <c r="F24" s="342">
        <f aca="true" t="shared" si="1" ref="F24:M24">SUM(F20:F23)</f>
        <v>25.707498992407977</v>
      </c>
      <c r="G24" s="342">
        <f t="shared" si="1"/>
        <v>27.99579969814419</v>
      </c>
      <c r="H24" s="342">
        <f t="shared" si="1"/>
        <v>30.503744338919613</v>
      </c>
      <c r="I24" s="342">
        <f t="shared" si="1"/>
        <v>33.25298859403102</v>
      </c>
      <c r="J24" s="342">
        <f t="shared" si="1"/>
        <v>36.2673420799856</v>
      </c>
      <c r="K24" s="342">
        <f t="shared" si="1"/>
        <v>39.57298326970801</v>
      </c>
      <c r="L24" s="342">
        <f t="shared" si="1"/>
        <v>43.19869588308153</v>
      </c>
      <c r="M24" s="385">
        <f t="shared" si="1"/>
        <v>47.17612889502147</v>
      </c>
      <c r="N24" s="22"/>
    </row>
    <row r="25" ht="12.75">
      <c r="A25" s="25"/>
    </row>
    <row r="26" ht="12.75">
      <c r="A26" s="252" t="s">
        <v>248</v>
      </c>
    </row>
    <row r="27" ht="13.5" thickBot="1"/>
    <row r="28" spans="2:13" ht="12.75">
      <c r="B28" s="298" t="s">
        <v>11</v>
      </c>
      <c r="C28" s="344" t="s">
        <v>131</v>
      </c>
      <c r="D28" s="345">
        <f>'P&amp;L'!C5</f>
        <v>1</v>
      </c>
      <c r="E28" s="345">
        <f>'P&amp;L'!D5</f>
        <v>2</v>
      </c>
      <c r="F28" s="345">
        <f>'P&amp;L'!E5</f>
        <v>3</v>
      </c>
      <c r="G28" s="345">
        <f>'P&amp;L'!F5</f>
        <v>4</v>
      </c>
      <c r="H28" s="345">
        <f>'P&amp;L'!G5</f>
        <v>5</v>
      </c>
      <c r="I28" s="345">
        <f>'P&amp;L'!H5</f>
        <v>6</v>
      </c>
      <c r="J28" s="345">
        <f>'P&amp;L'!I5</f>
        <v>7</v>
      </c>
      <c r="K28" s="345">
        <f>'P&amp;L'!J5</f>
        <v>8</v>
      </c>
      <c r="L28" s="345">
        <f>'P&amp;L'!K5</f>
        <v>9</v>
      </c>
      <c r="M28" s="345">
        <f>'P&amp;L'!L5</f>
        <v>10</v>
      </c>
    </row>
    <row r="29" spans="2:13" ht="12.75">
      <c r="B29" s="176" t="s">
        <v>235</v>
      </c>
      <c r="C29" s="307" t="s">
        <v>237</v>
      </c>
      <c r="D29" s="213">
        <f>Saving!D8</f>
        <v>397.232055</v>
      </c>
      <c r="E29" s="213">
        <f>Saving!E8</f>
        <v>529.64274</v>
      </c>
      <c r="F29" s="213">
        <f>Saving!F8</f>
        <v>529.64274</v>
      </c>
      <c r="G29" s="213">
        <f>Saving!G8</f>
        <v>529.64274</v>
      </c>
      <c r="H29" s="213">
        <f>Saving!H8</f>
        <v>529.64274</v>
      </c>
      <c r="I29" s="213">
        <f>Saving!I8</f>
        <v>529.64274</v>
      </c>
      <c r="J29" s="213">
        <f>Saving!J8</f>
        <v>529.64274</v>
      </c>
      <c r="K29" s="213">
        <f>Saving!K8</f>
        <v>529.64274</v>
      </c>
      <c r="L29" s="213">
        <f>Saving!L8</f>
        <v>529.64274</v>
      </c>
      <c r="M29" s="346">
        <f>Saving!M8</f>
        <v>529.64274</v>
      </c>
    </row>
    <row r="30" spans="2:13" ht="12.75">
      <c r="B30" s="176" t="s">
        <v>233</v>
      </c>
      <c r="C30" s="307" t="s">
        <v>237</v>
      </c>
      <c r="D30" s="222">
        <f>Saving!D9</f>
        <v>0</v>
      </c>
      <c r="E30" s="222">
        <f>Saving!E9</f>
        <v>0</v>
      </c>
      <c r="F30" s="222">
        <f>Saving!F9</f>
        <v>0</v>
      </c>
      <c r="G30" s="222">
        <f>Saving!G9</f>
        <v>0</v>
      </c>
      <c r="H30" s="222">
        <f>Saving!H9</f>
        <v>0</v>
      </c>
      <c r="I30" s="222">
        <f>Saving!I9</f>
        <v>0</v>
      </c>
      <c r="J30" s="222">
        <f>Saving!J9</f>
        <v>0</v>
      </c>
      <c r="K30" s="222">
        <f>Saving!K9</f>
        <v>0</v>
      </c>
      <c r="L30" s="222">
        <f>Saving!L9</f>
        <v>0</v>
      </c>
      <c r="M30" s="223">
        <f>Saving!M9</f>
        <v>0</v>
      </c>
    </row>
    <row r="31" spans="2:13" ht="12.75">
      <c r="B31" s="176" t="s">
        <v>238</v>
      </c>
      <c r="C31" s="307" t="s">
        <v>237</v>
      </c>
      <c r="D31" s="213">
        <f>D29-D30</f>
        <v>397.232055</v>
      </c>
      <c r="E31" s="213">
        <f aca="true" t="shared" si="2" ref="E31:M31">E29-E30</f>
        <v>529.64274</v>
      </c>
      <c r="F31" s="213">
        <f t="shared" si="2"/>
        <v>529.64274</v>
      </c>
      <c r="G31" s="213">
        <f t="shared" si="2"/>
        <v>529.64274</v>
      </c>
      <c r="H31" s="213">
        <f t="shared" si="2"/>
        <v>529.64274</v>
      </c>
      <c r="I31" s="213">
        <f t="shared" si="2"/>
        <v>529.64274</v>
      </c>
      <c r="J31" s="213">
        <f t="shared" si="2"/>
        <v>529.64274</v>
      </c>
      <c r="K31" s="213">
        <f t="shared" si="2"/>
        <v>529.64274</v>
      </c>
      <c r="L31" s="213">
        <f t="shared" si="2"/>
        <v>529.64274</v>
      </c>
      <c r="M31" s="213">
        <f t="shared" si="2"/>
        <v>529.64274</v>
      </c>
    </row>
    <row r="32" spans="2:13" ht="12.75">
      <c r="B32" s="176" t="s">
        <v>236</v>
      </c>
      <c r="C32" s="324" t="s">
        <v>239</v>
      </c>
      <c r="D32" s="309">
        <f>IF(D28&lt;=Parameters!$C$118,Saving!$D$15,0)</f>
        <v>4.92</v>
      </c>
      <c r="E32" s="309">
        <f>IF(E28&lt;=Parameters!$C$118,Saving!$D$15,0)</f>
        <v>4.92</v>
      </c>
      <c r="F32" s="309">
        <f>IF(F28&lt;=Parameters!$C$118,Saving!$D$15,0)</f>
        <v>4.92</v>
      </c>
      <c r="G32" s="309">
        <f>IF(G28&lt;=Parameters!$C$118,Saving!$D$15,0)</f>
        <v>4.92</v>
      </c>
      <c r="H32" s="309">
        <f>IF(H28&lt;=Parameters!$C$118,Saving!$D$15,0)</f>
        <v>4.92</v>
      </c>
      <c r="I32" s="309">
        <f>IF(I28&lt;=Parameters!$C$118,Saving!$D$15,0)</f>
        <v>4.92</v>
      </c>
      <c r="J32" s="309">
        <f>IF(J28&lt;=Parameters!$C$118,Saving!$D$15,0)</f>
        <v>4.92</v>
      </c>
      <c r="K32" s="309">
        <f>IF(K28&lt;=Parameters!$C$118,Saving!$D$15,0)</f>
        <v>4.92</v>
      </c>
      <c r="L32" s="309">
        <f>IF(L28&lt;=Parameters!$C$118,Saving!$D$15,0)</f>
        <v>4.92</v>
      </c>
      <c r="M32" s="309">
        <f>IF(M28&lt;=Parameters!$C$118,Saving!$D$15,0)</f>
        <v>4.92</v>
      </c>
    </row>
    <row r="33" spans="2:13" ht="12.75">
      <c r="B33" s="176"/>
      <c r="C33" s="192"/>
      <c r="D33" s="195"/>
      <c r="E33" s="195"/>
      <c r="F33" s="195"/>
      <c r="G33" s="195"/>
      <c r="H33" s="195"/>
      <c r="I33" s="195"/>
      <c r="J33" s="195"/>
      <c r="K33" s="195"/>
      <c r="L33" s="195"/>
      <c r="M33" s="291"/>
    </row>
    <row r="34" spans="2:13" ht="12.75">
      <c r="B34" s="347" t="s">
        <v>240</v>
      </c>
      <c r="C34" s="335" t="str">
        <f>Saving!C17</f>
        <v>INR Lacs</v>
      </c>
      <c r="D34" s="336">
        <f>Saving!D18</f>
        <v>50.4525805272</v>
      </c>
      <c r="E34" s="372">
        <f>Saving!E18</f>
        <v>53.1525805272</v>
      </c>
      <c r="F34" s="372">
        <f>Saving!F18</f>
        <v>56.122580527200014</v>
      </c>
      <c r="G34" s="372">
        <f>Saving!G18</f>
        <v>59.38958052720001</v>
      </c>
      <c r="H34" s="372">
        <f>Saving!H18</f>
        <v>62.98328052720002</v>
      </c>
      <c r="I34" s="372">
        <f>Saving!I18</f>
        <v>66.93635052720002</v>
      </c>
      <c r="J34" s="372">
        <f>Saving!J18</f>
        <v>71.28472752720003</v>
      </c>
      <c r="K34" s="372">
        <f>Saving!K18</f>
        <v>76.06794222720004</v>
      </c>
      <c r="L34" s="372">
        <f>Saving!L18</f>
        <v>81.32947839720005</v>
      </c>
      <c r="M34" s="373">
        <f>Saving!M18</f>
        <v>87.11716818420005</v>
      </c>
    </row>
    <row r="35" spans="1:13" ht="12.75">
      <c r="A35" s="23"/>
      <c r="B35" s="176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348"/>
    </row>
    <row r="36" spans="1:14" ht="25.5">
      <c r="A36" s="23"/>
      <c r="B36" s="349" t="s">
        <v>245</v>
      </c>
      <c r="C36" s="307" t="s">
        <v>237</v>
      </c>
      <c r="D36" s="325">
        <f>((D29*(1+0.3)-D31))</f>
        <v>119.16961650000002</v>
      </c>
      <c r="E36" s="325">
        <f aca="true" t="shared" si="3" ref="E36:M36">((E29*(1+0.3)-E29))</f>
        <v>158.89282200000002</v>
      </c>
      <c r="F36" s="325">
        <f t="shared" si="3"/>
        <v>158.89282200000002</v>
      </c>
      <c r="G36" s="325">
        <f t="shared" si="3"/>
        <v>158.89282200000002</v>
      </c>
      <c r="H36" s="325">
        <f t="shared" si="3"/>
        <v>158.89282200000002</v>
      </c>
      <c r="I36" s="325">
        <f t="shared" si="3"/>
        <v>158.89282200000002</v>
      </c>
      <c r="J36" s="325">
        <f t="shared" si="3"/>
        <v>158.89282200000002</v>
      </c>
      <c r="K36" s="325">
        <f t="shared" si="3"/>
        <v>158.89282200000002</v>
      </c>
      <c r="L36" s="325">
        <f t="shared" si="3"/>
        <v>158.89282200000002</v>
      </c>
      <c r="M36" s="350">
        <f t="shared" si="3"/>
        <v>158.89282200000002</v>
      </c>
      <c r="N36" s="343" t="s">
        <v>312</v>
      </c>
    </row>
    <row r="37" spans="2:13" ht="12.75">
      <c r="B37" s="172"/>
      <c r="C37" s="192"/>
      <c r="D37" s="275"/>
      <c r="E37" s="275"/>
      <c r="F37" s="275"/>
      <c r="G37" s="275"/>
      <c r="H37" s="275"/>
      <c r="I37" s="275"/>
      <c r="J37" s="275"/>
      <c r="K37" s="275"/>
      <c r="L37" s="275"/>
      <c r="M37" s="276"/>
    </row>
    <row r="38" spans="1:13" ht="12.75">
      <c r="A38" s="23"/>
      <c r="B38" s="347" t="s">
        <v>249</v>
      </c>
      <c r="C38" s="335" t="s">
        <v>242</v>
      </c>
      <c r="D38" s="337">
        <f aca="true" t="shared" si="4" ref="D38:M38">(D32*D36*1000)/10^5</f>
        <v>5.8631451318000005</v>
      </c>
      <c r="E38" s="337">
        <f t="shared" si="4"/>
        <v>7.817526842400001</v>
      </c>
      <c r="F38" s="337">
        <f t="shared" si="4"/>
        <v>7.817526842400001</v>
      </c>
      <c r="G38" s="337">
        <f t="shared" si="4"/>
        <v>7.817526842400001</v>
      </c>
      <c r="H38" s="337">
        <f t="shared" si="4"/>
        <v>7.817526842400001</v>
      </c>
      <c r="I38" s="337">
        <f t="shared" si="4"/>
        <v>7.817526842400001</v>
      </c>
      <c r="J38" s="337">
        <f t="shared" si="4"/>
        <v>7.817526842400001</v>
      </c>
      <c r="K38" s="337">
        <f t="shared" si="4"/>
        <v>7.817526842400001</v>
      </c>
      <c r="L38" s="337">
        <f t="shared" si="4"/>
        <v>7.817526842400001</v>
      </c>
      <c r="M38" s="351">
        <f t="shared" si="4"/>
        <v>7.817526842400001</v>
      </c>
    </row>
    <row r="39" spans="1:13" ht="12.75">
      <c r="A39" s="312"/>
      <c r="B39" s="17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352"/>
    </row>
    <row r="40" spans="1:14" ht="12.75">
      <c r="A40" s="312"/>
      <c r="B40" s="176" t="s">
        <v>246</v>
      </c>
      <c r="C40" s="192" t="s">
        <v>243</v>
      </c>
      <c r="D40" s="383">
        <f>(D31+D36)*Parameters!$C$113</f>
        <v>426.0313789875</v>
      </c>
      <c r="E40" s="383">
        <f>(E31+E36)*Parameters!$C$113</f>
        <v>568.04183865</v>
      </c>
      <c r="F40" s="383">
        <f>(F31+F36)*Parameters!$C$113</f>
        <v>568.04183865</v>
      </c>
      <c r="G40" s="383">
        <f>(G31+G36)*Parameters!$C$113</f>
        <v>568.04183865</v>
      </c>
      <c r="H40" s="383">
        <f>(H31+H36)*Parameters!$C$113</f>
        <v>568.04183865</v>
      </c>
      <c r="I40" s="383">
        <f>(I31+I36)*Parameters!$C$113</f>
        <v>568.04183865</v>
      </c>
      <c r="J40" s="383">
        <f>(J31+J36)*Parameters!$C$113</f>
        <v>568.04183865</v>
      </c>
      <c r="K40" s="383">
        <f>(K31+K36)*Parameters!$C$113</f>
        <v>568.04183865</v>
      </c>
      <c r="L40" s="383">
        <f>(L31+L36)*Parameters!$C$113</f>
        <v>568.04183865</v>
      </c>
      <c r="M40" s="384">
        <f>(M31+M36)*Parameters!$C$113</f>
        <v>568.04183865</v>
      </c>
      <c r="N40" s="103" t="s">
        <v>247</v>
      </c>
    </row>
    <row r="41" spans="1:13" ht="12.75">
      <c r="A41" s="312"/>
      <c r="B41" s="347" t="s">
        <v>321</v>
      </c>
      <c r="C41" s="335" t="s">
        <v>242</v>
      </c>
      <c r="D41" s="337">
        <f>(D40*5*62)/10^5</f>
        <v>1.32069727486125</v>
      </c>
      <c r="E41" s="337">
        <f aca="true" t="shared" si="5" ref="E41:M41">(E40*5*62)/10^5</f>
        <v>1.7609296998150001</v>
      </c>
      <c r="F41" s="337">
        <f t="shared" si="5"/>
        <v>1.7609296998150001</v>
      </c>
      <c r="G41" s="337">
        <f t="shared" si="5"/>
        <v>1.7609296998150001</v>
      </c>
      <c r="H41" s="337">
        <f t="shared" si="5"/>
        <v>1.7609296998150001</v>
      </c>
      <c r="I41" s="337">
        <f t="shared" si="5"/>
        <v>1.7609296998150001</v>
      </c>
      <c r="J41" s="337">
        <f t="shared" si="5"/>
        <v>1.7609296998150001</v>
      </c>
      <c r="K41" s="337">
        <f t="shared" si="5"/>
        <v>1.7609296998150001</v>
      </c>
      <c r="L41" s="337">
        <f t="shared" si="5"/>
        <v>1.7609296998150001</v>
      </c>
      <c r="M41" s="351">
        <f t="shared" si="5"/>
        <v>1.7609296998150001</v>
      </c>
    </row>
    <row r="42" spans="1:13" ht="12.75">
      <c r="A42" s="312"/>
      <c r="B42" s="176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352"/>
    </row>
    <row r="43" spans="1:13" ht="13.5" thickBot="1">
      <c r="A43" s="312"/>
      <c r="B43" s="354" t="s">
        <v>244</v>
      </c>
      <c r="C43" s="355" t="s">
        <v>242</v>
      </c>
      <c r="D43" s="356">
        <f>D34+D38+D41</f>
        <v>57.636422933861255</v>
      </c>
      <c r="E43" s="369">
        <f aca="true" t="shared" si="6" ref="E43:M43">E34+E38+E41</f>
        <v>62.731037069415</v>
      </c>
      <c r="F43" s="369">
        <f t="shared" si="6"/>
        <v>65.70103706941501</v>
      </c>
      <c r="G43" s="369">
        <f t="shared" si="6"/>
        <v>68.968037069415</v>
      </c>
      <c r="H43" s="369">
        <f t="shared" si="6"/>
        <v>72.56173706941502</v>
      </c>
      <c r="I43" s="369">
        <f t="shared" si="6"/>
        <v>76.51480706941501</v>
      </c>
      <c r="J43" s="369">
        <f t="shared" si="6"/>
        <v>80.86318406941503</v>
      </c>
      <c r="K43" s="369">
        <f t="shared" si="6"/>
        <v>85.64639876941503</v>
      </c>
      <c r="L43" s="369">
        <f t="shared" si="6"/>
        <v>90.90793493941504</v>
      </c>
      <c r="M43" s="370">
        <f t="shared" si="6"/>
        <v>96.69562472641505</v>
      </c>
    </row>
    <row r="44" spans="1:13" ht="13.5" thickBo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</row>
    <row r="45" spans="1:13" ht="13.5" thickBot="1">
      <c r="A45" s="169"/>
      <c r="B45" s="357" t="s">
        <v>319</v>
      </c>
      <c r="C45" s="358"/>
      <c r="D45" s="359">
        <f aca="true" t="shared" si="7" ref="D45:M45">D43-D24</f>
        <v>-89.06197994148279</v>
      </c>
      <c r="E45" s="359">
        <f t="shared" si="7"/>
        <v>39.11189198878979</v>
      </c>
      <c r="F45" s="359">
        <f t="shared" si="7"/>
        <v>39.99353807700703</v>
      </c>
      <c r="G45" s="359">
        <f t="shared" si="7"/>
        <v>40.972237371270815</v>
      </c>
      <c r="H45" s="359">
        <f t="shared" si="7"/>
        <v>42.0579927304954</v>
      </c>
      <c r="I45" s="359">
        <f t="shared" si="7"/>
        <v>43.261818475384</v>
      </c>
      <c r="J45" s="359">
        <f t="shared" si="7"/>
        <v>44.595841989429424</v>
      </c>
      <c r="K45" s="359">
        <f t="shared" si="7"/>
        <v>46.07341549970702</v>
      </c>
      <c r="L45" s="359">
        <f t="shared" si="7"/>
        <v>47.709239056333516</v>
      </c>
      <c r="M45" s="360">
        <f t="shared" si="7"/>
        <v>49.51949583139358</v>
      </c>
    </row>
    <row r="46" ht="12.75">
      <c r="B46" s="23"/>
    </row>
    <row r="47" s="169" customFormat="1" ht="12.75">
      <c r="K47" s="23"/>
    </row>
    <row r="48" s="169" customFormat="1" ht="12.75"/>
    <row r="49" spans="2:13" ht="12.75">
      <c r="B49" s="194" t="s">
        <v>250</v>
      </c>
      <c r="C49" s="326">
        <f>IRR(D45:M45)</f>
        <v>0.4448181099480024</v>
      </c>
      <c r="D49" s="368"/>
      <c r="E49" s="323"/>
      <c r="F49" s="323"/>
      <c r="G49" s="323"/>
      <c r="H49" s="323"/>
      <c r="I49" s="323"/>
      <c r="J49" s="323"/>
      <c r="K49" s="323"/>
      <c r="L49" s="323"/>
      <c r="M49" s="323"/>
    </row>
    <row r="50" spans="2:13" ht="12.75">
      <c r="B50" s="194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2:13" ht="12.75">
      <c r="B51" s="194" t="s">
        <v>226</v>
      </c>
      <c r="C51" s="353">
        <f>NPV(12%,D45:M45)</f>
        <v>123.87751820431824</v>
      </c>
      <c r="D51" s="327"/>
      <c r="E51" s="170"/>
      <c r="F51" s="170"/>
      <c r="G51" s="170"/>
      <c r="H51" s="170"/>
      <c r="I51" s="170"/>
      <c r="J51" s="170"/>
      <c r="K51" s="170"/>
      <c r="L51" s="170"/>
      <c r="M51" s="170"/>
    </row>
    <row r="54" spans="2:13" ht="12.75">
      <c r="B54" s="330" t="s">
        <v>314</v>
      </c>
      <c r="D54" s="331">
        <f>IF(D28&lt;=Parameters!$C$118,(Parameters!$C$36*Parameters!$C$35*Parameters!$C$6)/1000,0)</f>
        <v>499.32</v>
      </c>
      <c r="E54" s="331">
        <f>IF(E28&lt;=Parameters!$C$118,(Parameters!$C$36*Parameters!$C$35*Parameters!$C$6)/1000,0)</f>
        <v>499.32</v>
      </c>
      <c r="F54" s="331">
        <f>IF(F28&lt;=Parameters!$C$118,(Parameters!$C$36*Parameters!$C$35*Parameters!$C$6)/1000,0)</f>
        <v>499.32</v>
      </c>
      <c r="G54" s="331">
        <f>IF(G28&lt;=Parameters!$C$118,(Parameters!$C$36*Parameters!$C$35*Parameters!$C$6)/1000,0)</f>
        <v>499.32</v>
      </c>
      <c r="H54" s="331">
        <f>IF(H28&lt;=Parameters!$C$118,(Parameters!$C$36*Parameters!$C$35*Parameters!$C$6)/1000,0)</f>
        <v>499.32</v>
      </c>
      <c r="I54" s="331">
        <f>IF(I28&lt;=Parameters!$C$118,(Parameters!$C$36*Parameters!$C$35*Parameters!$C$6)/1000,0)</f>
        <v>499.32</v>
      </c>
      <c r="J54" s="331">
        <f>IF(J28&lt;=Parameters!$C$118,(Parameters!$C$36*Parameters!$C$35*Parameters!$C$6)/1000,0)</f>
        <v>499.32</v>
      </c>
      <c r="K54" s="331">
        <f>IF(K28&lt;=Parameters!$C$118,(Parameters!$C$36*Parameters!$C$35*Parameters!$C$6)/1000,0)</f>
        <v>499.32</v>
      </c>
      <c r="L54" s="331">
        <f>IF(L28&lt;=Parameters!$C$118,(Parameters!$C$36*Parameters!$C$35*Parameters!$C$6)/1000,0)</f>
        <v>499.32</v>
      </c>
      <c r="M54" s="331">
        <f>IF(M28&lt;=Parameters!$C$118,(Parameters!$C$36*Parameters!$C$35*Parameters!$C$6)/1000,0)</f>
        <v>499.32</v>
      </c>
    </row>
    <row r="55" spans="2:13" ht="12.75">
      <c r="B55" s="102" t="s">
        <v>315</v>
      </c>
      <c r="D55" s="332">
        <f aca="true" t="shared" si="8" ref="D55:M55">D54-D31</f>
        <v>102.08794499999999</v>
      </c>
      <c r="E55" s="332">
        <f t="shared" si="8"/>
        <v>-30.32274000000001</v>
      </c>
      <c r="F55" s="332">
        <f t="shared" si="8"/>
        <v>-30.32274000000001</v>
      </c>
      <c r="G55" s="332">
        <f t="shared" si="8"/>
        <v>-30.32274000000001</v>
      </c>
      <c r="H55" s="332">
        <f t="shared" si="8"/>
        <v>-30.32274000000001</v>
      </c>
      <c r="I55" s="332">
        <f t="shared" si="8"/>
        <v>-30.32274000000001</v>
      </c>
      <c r="J55" s="332">
        <f t="shared" si="8"/>
        <v>-30.32274000000001</v>
      </c>
      <c r="K55" s="332">
        <f t="shared" si="8"/>
        <v>-30.32274000000001</v>
      </c>
      <c r="L55" s="332">
        <f t="shared" si="8"/>
        <v>-30.32274000000001</v>
      </c>
      <c r="M55" s="332">
        <f t="shared" si="8"/>
        <v>-30.32274000000001</v>
      </c>
    </row>
    <row r="56" spans="2:14" ht="12.75">
      <c r="B56" s="333" t="s">
        <v>316</v>
      </c>
      <c r="D56" s="334">
        <f>('Economic Analysis'!D55*Tariff!D14)/100</f>
        <v>5.022726893999999</v>
      </c>
      <c r="E56" s="334">
        <f>('Economic Analysis'!E55*Tariff!D14)/100</f>
        <v>-1.4918788080000005</v>
      </c>
      <c r="F56" s="334">
        <f>('Economic Analysis'!F55*Tariff!D14)/100</f>
        <v>-1.4918788080000005</v>
      </c>
      <c r="G56" s="334">
        <f>('Economic Analysis'!G55*Tariff!D14)/100</f>
        <v>-1.4918788080000005</v>
      </c>
      <c r="H56" s="334">
        <f>('Economic Analysis'!H55*Tariff!D14)/100</f>
        <v>-1.4918788080000005</v>
      </c>
      <c r="I56" s="334">
        <f>('Economic Analysis'!I55*Tariff!D14)/100</f>
        <v>-1.4918788080000005</v>
      </c>
      <c r="J56" s="334">
        <f>('Economic Analysis'!J55*Tariff!D14)/100</f>
        <v>-1.4918788080000005</v>
      </c>
      <c r="K56" s="334">
        <f>('Economic Analysis'!K55*Tariff!D14)/100</f>
        <v>-1.4918788080000005</v>
      </c>
      <c r="L56" s="334">
        <f>('Economic Analysis'!L55*Tariff!D14)/100</f>
        <v>-1.4918788080000005</v>
      </c>
      <c r="M56" s="334">
        <f>('Economic Analysis'!M55*Tariff!D14)/100</f>
        <v>-1.4918788080000005</v>
      </c>
      <c r="N56" s="334"/>
    </row>
    <row r="57" ht="12.75">
      <c r="E57" s="371"/>
    </row>
    <row r="58" spans="3:5" ht="12.75">
      <c r="C58" s="328"/>
      <c r="E58" s="371"/>
    </row>
    <row r="59" spans="3:5" ht="12.75">
      <c r="C59" s="329"/>
      <c r="E59" s="371"/>
    </row>
    <row r="60" ht="13.5" thickBot="1">
      <c r="E60" s="371"/>
    </row>
    <row r="61" spans="2:6" ht="63.75" thickBot="1">
      <c r="B61" s="453" t="s">
        <v>394</v>
      </c>
      <c r="C61" s="454" t="s">
        <v>395</v>
      </c>
      <c r="D61" s="454" t="s">
        <v>396</v>
      </c>
      <c r="E61" s="454" t="s">
        <v>397</v>
      </c>
      <c r="F61" s="454" t="s">
        <v>398</v>
      </c>
    </row>
    <row r="62" spans="2:8" ht="32.25" thickBot="1">
      <c r="B62" s="455" t="s">
        <v>399</v>
      </c>
      <c r="C62" s="456">
        <v>505679.76</v>
      </c>
      <c r="D62" s="456">
        <v>2831806.66</v>
      </c>
      <c r="E62" s="456">
        <v>6478140</v>
      </c>
      <c r="F62" s="457">
        <v>2.29</v>
      </c>
      <c r="H62" s="469">
        <f>E62/C62</f>
        <v>12.810755961440893</v>
      </c>
    </row>
    <row r="63" spans="2:8" ht="32.25" thickBot="1">
      <c r="B63" s="455" t="s">
        <v>400</v>
      </c>
      <c r="C63" s="456">
        <v>115947.36</v>
      </c>
      <c r="D63" s="456">
        <v>649305.22</v>
      </c>
      <c r="E63" s="456">
        <v>2228060</v>
      </c>
      <c r="F63" s="457">
        <v>3.43</v>
      </c>
      <c r="H63" s="469">
        <f>E63/C63</f>
        <v>19.21613394216134</v>
      </c>
    </row>
    <row r="64" spans="2:8" ht="32.25" thickBot="1">
      <c r="B64" s="455" t="s">
        <v>401</v>
      </c>
      <c r="C64" s="456">
        <v>458980.2</v>
      </c>
      <c r="D64" s="456">
        <v>2570289.12</v>
      </c>
      <c r="E64" s="456">
        <v>10079800</v>
      </c>
      <c r="F64" s="457">
        <v>3.92</v>
      </c>
      <c r="H64" s="469">
        <f>E64/C64</f>
        <v>21.961295933898672</v>
      </c>
    </row>
    <row r="65" spans="2:8" ht="32.25" thickBot="1">
      <c r="B65" s="455" t="s">
        <v>402</v>
      </c>
      <c r="C65" s="456">
        <v>27015.84</v>
      </c>
      <c r="D65" s="456">
        <v>151288.7</v>
      </c>
      <c r="E65" s="456">
        <v>519140</v>
      </c>
      <c r="F65" s="457">
        <v>3.43</v>
      </c>
      <c r="H65" s="469">
        <f>E65/C65</f>
        <v>19.21613394216134</v>
      </c>
    </row>
    <row r="66" spans="2:7" ht="32.25" thickBot="1">
      <c r="B66" s="455" t="s">
        <v>403</v>
      </c>
      <c r="C66" s="458"/>
      <c r="D66" s="458"/>
      <c r="E66" s="456">
        <v>2895771</v>
      </c>
      <c r="F66" s="458"/>
      <c r="G66" s="102" t="s">
        <v>405</v>
      </c>
    </row>
    <row r="67" spans="2:7" ht="16.5" thickBot="1">
      <c r="B67" s="455" t="s">
        <v>404</v>
      </c>
      <c r="C67" s="458"/>
      <c r="D67" s="458"/>
      <c r="E67" s="456">
        <v>4826285</v>
      </c>
      <c r="F67" s="458"/>
      <c r="G67" s="329">
        <v>0.15</v>
      </c>
    </row>
    <row r="68" spans="2:6" ht="16.5" thickBot="1">
      <c r="B68" s="455" t="s">
        <v>74</v>
      </c>
      <c r="C68" s="457">
        <v>1107623</v>
      </c>
      <c r="D68" s="457">
        <v>6202690</v>
      </c>
      <c r="E68" s="456">
        <v>27027196</v>
      </c>
      <c r="F68" s="457">
        <v>4.36</v>
      </c>
    </row>
    <row r="69" spans="3:5" ht="12.75">
      <c r="C69" s="459">
        <f>SUM(C62:C67)</f>
        <v>1107623.1600000001</v>
      </c>
      <c r="D69" s="459">
        <f>SUM(D62:D67)</f>
        <v>6202689.7</v>
      </c>
      <c r="E69" s="459">
        <f>SUM(E62:E67)</f>
        <v>27027196</v>
      </c>
    </row>
    <row r="71" ht="12.75">
      <c r="E71" s="460">
        <f>E66/E69</f>
        <v>0.10714285714285714</v>
      </c>
    </row>
    <row r="72" ht="12.75">
      <c r="E72" s="460">
        <f>E67/E69</f>
        <v>0.17857142857142858</v>
      </c>
    </row>
    <row r="74" ht="13.5" thickBot="1"/>
    <row r="75" spans="2:9" ht="32.25" thickBot="1">
      <c r="B75" s="453" t="s">
        <v>406</v>
      </c>
      <c r="C75" s="454" t="s">
        <v>407</v>
      </c>
      <c r="D75" s="454" t="s">
        <v>408</v>
      </c>
      <c r="E75" s="454" t="s">
        <v>409</v>
      </c>
      <c r="F75" s="468" t="s">
        <v>419</v>
      </c>
      <c r="G75" s="467" t="s">
        <v>421</v>
      </c>
      <c r="H75" s="467" t="s">
        <v>418</v>
      </c>
      <c r="I75" s="467" t="s">
        <v>420</v>
      </c>
    </row>
    <row r="76" spans="2:9" ht="16.5" thickBot="1">
      <c r="B76" s="461">
        <v>1</v>
      </c>
      <c r="C76" s="462" t="s">
        <v>410</v>
      </c>
      <c r="D76" s="463">
        <v>1103</v>
      </c>
      <c r="E76" s="464">
        <v>0.21</v>
      </c>
      <c r="F76" s="102">
        <v>16</v>
      </c>
      <c r="G76" s="102">
        <v>92</v>
      </c>
      <c r="H76" s="102">
        <f>G76*F76</f>
        <v>1472</v>
      </c>
      <c r="I76" s="102">
        <f>H76*D76</f>
        <v>1623616</v>
      </c>
    </row>
    <row r="77" spans="2:9" ht="16.5" thickBot="1">
      <c r="B77" s="461">
        <v>2</v>
      </c>
      <c r="C77" s="462" t="s">
        <v>411</v>
      </c>
      <c r="D77" s="463">
        <v>3207</v>
      </c>
      <c r="E77" s="464">
        <v>0.6</v>
      </c>
      <c r="F77" s="102">
        <v>16</v>
      </c>
      <c r="G77" s="102">
        <v>92</v>
      </c>
      <c r="H77" s="102">
        <f>G77*F77</f>
        <v>1472</v>
      </c>
      <c r="I77" s="102">
        <f>H77*D77</f>
        <v>4720704</v>
      </c>
    </row>
    <row r="78" spans="2:9" ht="16.5" thickBot="1">
      <c r="B78" s="461">
        <v>3</v>
      </c>
      <c r="C78" s="462" t="s">
        <v>412</v>
      </c>
      <c r="D78" s="463">
        <v>514</v>
      </c>
      <c r="E78" s="464">
        <v>0.1</v>
      </c>
      <c r="F78" s="102">
        <v>8</v>
      </c>
      <c r="G78" s="102">
        <v>92</v>
      </c>
      <c r="H78" s="102">
        <f>G78*F78</f>
        <v>736</v>
      </c>
      <c r="I78" s="102">
        <f>H78*D78</f>
        <v>378304</v>
      </c>
    </row>
    <row r="79" spans="2:9" ht="32.25" thickBot="1">
      <c r="B79" s="461">
        <v>4</v>
      </c>
      <c r="C79" s="465" t="s">
        <v>413</v>
      </c>
      <c r="D79" s="463">
        <v>499</v>
      </c>
      <c r="E79" s="464">
        <v>0.09</v>
      </c>
      <c r="F79" s="333">
        <v>140</v>
      </c>
      <c r="G79" s="102">
        <v>92</v>
      </c>
      <c r="H79" s="102">
        <f>G79*F79</f>
        <v>12880</v>
      </c>
      <c r="I79" s="102">
        <f>H79*D79</f>
        <v>6427120</v>
      </c>
    </row>
    <row r="80" spans="2:9" ht="16.5" thickBot="1">
      <c r="B80" s="461">
        <v>5</v>
      </c>
      <c r="C80" s="462" t="s">
        <v>414</v>
      </c>
      <c r="D80" s="463">
        <v>20</v>
      </c>
      <c r="E80" s="464">
        <v>0</v>
      </c>
      <c r="I80" s="102">
        <f>SUM(I76:I79)</f>
        <v>13149744</v>
      </c>
    </row>
    <row r="81" spans="2:5" ht="16.5" thickBot="1">
      <c r="B81" s="466"/>
      <c r="C81" s="465" t="s">
        <v>74</v>
      </c>
      <c r="D81" s="463">
        <v>5343</v>
      </c>
      <c r="E81" s="464">
        <v>1</v>
      </c>
    </row>
    <row r="82" spans="8:9" ht="12.75">
      <c r="H82" s="102" t="s">
        <v>415</v>
      </c>
      <c r="I82" s="102">
        <f>I80*7%</f>
        <v>920482.0800000001</v>
      </c>
    </row>
    <row r="83" spans="4:9" ht="12.75">
      <c r="D83" s="102">
        <f>D76+D77+D78+D79</f>
        <v>5323</v>
      </c>
      <c r="H83" s="102" t="s">
        <v>416</v>
      </c>
      <c r="I83" s="102">
        <f>I80*15%</f>
        <v>1972461.5999999999</v>
      </c>
    </row>
    <row r="84" spans="9:10" ht="12.75">
      <c r="I84" s="102">
        <f>I80+I82+I83</f>
        <v>16042687.68</v>
      </c>
      <c r="J84" s="102">
        <f>I84/10^5</f>
        <v>160.4268768</v>
      </c>
    </row>
  </sheetData>
  <sheetProtection password="DAD4" sheet="1"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&amp;CPartial Risk Gurantee for Energy Efficiency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E26"/>
  <sheetViews>
    <sheetView workbookViewId="0" topLeftCell="A1">
      <selection activeCell="C28" sqref="C28"/>
    </sheetView>
  </sheetViews>
  <sheetFormatPr defaultColWidth="0" defaultRowHeight="12.75" zeroHeight="1"/>
  <cols>
    <col min="1" max="1" width="10.421875" style="21" customWidth="1"/>
    <col min="2" max="2" width="14.00390625" style="21" customWidth="1"/>
    <col min="3" max="3" width="14.57421875" style="21" customWidth="1"/>
    <col min="4" max="4" width="15.140625" style="21" customWidth="1"/>
    <col min="5" max="5" width="20.140625" style="21" customWidth="1"/>
    <col min="6" max="16384" width="0" style="21" hidden="1" customWidth="1"/>
  </cols>
  <sheetData>
    <row r="1" spans="1:5" ht="12.75">
      <c r="A1" s="22"/>
      <c r="B1" s="22" t="s">
        <v>219</v>
      </c>
      <c r="C1" s="22"/>
      <c r="D1" s="22"/>
      <c r="E1" s="22"/>
    </row>
    <row r="2" spans="1:5" ht="12.75">
      <c r="A2" s="22"/>
      <c r="B2" s="22"/>
      <c r="C2" s="22"/>
      <c r="D2" s="22"/>
      <c r="E2" s="22"/>
    </row>
    <row r="3" spans="1:5" ht="15">
      <c r="A3" s="22"/>
      <c r="B3" s="32" t="s">
        <v>156</v>
      </c>
      <c r="C3" s="23"/>
      <c r="D3" s="23"/>
      <c r="E3" s="23"/>
    </row>
    <row r="4" spans="1:5" ht="12.75">
      <c r="A4" s="22"/>
      <c r="B4" s="33"/>
      <c r="C4" s="23"/>
      <c r="D4" s="23"/>
      <c r="E4" s="23"/>
    </row>
    <row r="5" spans="1:5" ht="12.75">
      <c r="A5" s="22"/>
      <c r="B5" s="23"/>
      <c r="C5" s="23"/>
      <c r="D5" s="34"/>
      <c r="E5" s="34"/>
    </row>
    <row r="6" spans="1:5" ht="12.75">
      <c r="A6" s="22"/>
      <c r="B6" s="23"/>
      <c r="C6" s="23"/>
      <c r="D6" s="23"/>
      <c r="E6" s="23"/>
    </row>
    <row r="7" spans="1:5" ht="12.75">
      <c r="A7" s="22"/>
      <c r="B7" s="35" t="s">
        <v>157</v>
      </c>
      <c r="C7" s="23"/>
      <c r="D7" s="23"/>
      <c r="E7" s="23"/>
    </row>
    <row r="8" spans="1:5" ht="12.75" hidden="1">
      <c r="A8" s="22"/>
      <c r="B8" s="23" t="e">
        <f>#REF!</f>
        <v>#REF!</v>
      </c>
      <c r="C8" s="23"/>
      <c r="D8" s="24" t="e">
        <f>#REF!</f>
        <v>#REF!</v>
      </c>
      <c r="E8" s="23"/>
    </row>
    <row r="9" spans="1:5" ht="12.75" hidden="1">
      <c r="A9" s="22"/>
      <c r="B9" s="23" t="e">
        <f>#REF!</f>
        <v>#REF!</v>
      </c>
      <c r="C9" s="23"/>
      <c r="D9" s="24" t="e">
        <f>VLOOKUP(#REF!,#REF!,4)</f>
        <v>#REF!</v>
      </c>
      <c r="E9" s="23"/>
    </row>
    <row r="10" spans="1:5" ht="12.75" hidden="1">
      <c r="A10" s="22"/>
      <c r="B10" s="25" t="s">
        <v>74</v>
      </c>
      <c r="C10" s="25"/>
      <c r="D10" s="26" t="e">
        <f>SUM(D8:D9)</f>
        <v>#REF!</v>
      </c>
      <c r="E10" s="23" t="s">
        <v>160</v>
      </c>
    </row>
    <row r="11" spans="1:5" ht="12.75">
      <c r="A11" s="22"/>
      <c r="B11" s="25"/>
      <c r="C11" s="25"/>
      <c r="D11" s="26"/>
      <c r="E11" s="23"/>
    </row>
    <row r="12" spans="1:5" ht="12.75">
      <c r="A12" s="22"/>
      <c r="B12" s="23"/>
      <c r="C12" s="23"/>
      <c r="D12" s="318" t="s">
        <v>158</v>
      </c>
      <c r="E12" s="36"/>
    </row>
    <row r="13" spans="1:5" ht="12.75">
      <c r="A13" s="22"/>
      <c r="B13" s="36" t="s">
        <v>352</v>
      </c>
      <c r="C13" s="36" t="s">
        <v>159</v>
      </c>
      <c r="D13" s="23"/>
      <c r="E13" s="23"/>
    </row>
    <row r="14" spans="1:5" ht="12.75">
      <c r="A14" s="376"/>
      <c r="B14" s="36">
        <v>1</v>
      </c>
      <c r="C14" s="23">
        <v>2014</v>
      </c>
      <c r="D14" s="24">
        <f>Parameters!$C$32</f>
        <v>4.92</v>
      </c>
      <c r="E14" s="23"/>
    </row>
    <row r="15" spans="1:5" ht="12.75">
      <c r="A15" s="376"/>
      <c r="B15" s="36">
        <f>B14+1</f>
        <v>2</v>
      </c>
      <c r="C15" s="23">
        <v>2015</v>
      </c>
      <c r="D15" s="24">
        <f>IF(B15&lt;=Parameters!$C$118,D14*(1+Parameters!$C$33),0)</f>
        <v>5.0676</v>
      </c>
      <c r="E15" s="37"/>
    </row>
    <row r="16" spans="1:5" ht="12.75">
      <c r="A16" s="376"/>
      <c r="B16" s="36">
        <f aca="true" t="shared" si="0" ref="B16:B23">B15+1</f>
        <v>3</v>
      </c>
      <c r="C16" s="23">
        <v>2016</v>
      </c>
      <c r="D16" s="24">
        <f>IF(B16&lt;=Parameters!$C$118,D15*(1+Parameters!$C$33),0)</f>
        <v>5.219628</v>
      </c>
      <c r="E16" s="37"/>
    </row>
    <row r="17" spans="1:5" ht="12.75">
      <c r="A17" s="376"/>
      <c r="B17" s="36">
        <f t="shared" si="0"/>
        <v>4</v>
      </c>
      <c r="C17" s="23">
        <v>2017</v>
      </c>
      <c r="D17" s="24">
        <f>IF(B17&lt;=Parameters!$C$118,D16*(1+Parameters!$C$33),0)</f>
        <v>5.3762168400000006</v>
      </c>
      <c r="E17" s="37"/>
    </row>
    <row r="18" spans="1:5" ht="12.75">
      <c r="A18" s="376"/>
      <c r="B18" s="36">
        <f t="shared" si="0"/>
        <v>5</v>
      </c>
      <c r="C18" s="23">
        <v>2018</v>
      </c>
      <c r="D18" s="24">
        <f>IF(B18&lt;=Parameters!$C$118,D17*(1+Parameters!$C$33),0)</f>
        <v>5.537503345200001</v>
      </c>
      <c r="E18" s="37"/>
    </row>
    <row r="19" spans="1:5" ht="12.75">
      <c r="A19" s="376"/>
      <c r="B19" s="36">
        <f t="shared" si="0"/>
        <v>6</v>
      </c>
      <c r="C19" s="23">
        <v>2019</v>
      </c>
      <c r="D19" s="24">
        <f>IF(B19&lt;=Parameters!$C$118,D18*(1+Parameters!$C$33),0)</f>
        <v>5.703628445556001</v>
      </c>
      <c r="E19" s="37"/>
    </row>
    <row r="20" spans="1:5" ht="12.75">
      <c r="A20" s="376"/>
      <c r="B20" s="36">
        <f t="shared" si="0"/>
        <v>7</v>
      </c>
      <c r="C20" s="23">
        <v>2020</v>
      </c>
      <c r="D20" s="24">
        <f>IF(B20&lt;=Parameters!$C$118,D19*(1+Parameters!$C$33),0)</f>
        <v>5.874737298922681</v>
      </c>
      <c r="E20" s="37"/>
    </row>
    <row r="21" spans="1:5" ht="12.75">
      <c r="A21" s="376"/>
      <c r="B21" s="36">
        <f t="shared" si="0"/>
        <v>8</v>
      </c>
      <c r="C21" s="23">
        <v>2021</v>
      </c>
      <c r="D21" s="24">
        <f>IF(B21&lt;=Parameters!$C$118,D20*(1+Parameters!$C$33),0)</f>
        <v>6.050979417890361</v>
      </c>
      <c r="E21" s="37"/>
    </row>
    <row r="22" spans="1:5" ht="12.75">
      <c r="A22" s="376"/>
      <c r="B22" s="36">
        <f t="shared" si="0"/>
        <v>9</v>
      </c>
      <c r="C22" s="23">
        <v>2022</v>
      </c>
      <c r="D22" s="24">
        <f>IF(B22&lt;=Parameters!$C$118,D21*(1+Parameters!$C$33),0)</f>
        <v>6.232508800427072</v>
      </c>
      <c r="E22" s="37"/>
    </row>
    <row r="23" spans="1:5" ht="12.75">
      <c r="A23" s="376"/>
      <c r="B23" s="36">
        <f t="shared" si="0"/>
        <v>10</v>
      </c>
      <c r="C23" s="23">
        <v>2023</v>
      </c>
      <c r="D23" s="24">
        <f>IF(B23&lt;=Parameters!$C$118,D22*(1+Parameters!$C$33),0)</f>
        <v>6.419484064439884</v>
      </c>
      <c r="E23" s="37"/>
    </row>
    <row r="24" spans="1:5" ht="12.75">
      <c r="A24" s="22"/>
      <c r="B24" s="23"/>
      <c r="C24" s="23"/>
      <c r="D24" s="23"/>
      <c r="E24" s="23"/>
    </row>
    <row r="25" spans="1:5" ht="12.75">
      <c r="A25" s="22"/>
      <c r="B25" s="23"/>
      <c r="C25" s="23"/>
      <c r="D25" s="23"/>
      <c r="E25" s="23"/>
    </row>
    <row r="26" spans="1:5" ht="12.75">
      <c r="A26" s="22"/>
      <c r="B26" s="23"/>
      <c r="C26" s="23"/>
      <c r="D26" s="23"/>
      <c r="E26" s="2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password="DAD4" sheet="1" formatCells="0" formatColumns="0" formatRows="0"/>
  <printOptions/>
  <pageMargins left="0.7" right="0.7" top="0.75" bottom="0.75" header="0.3" footer="0.3"/>
  <pageSetup horizontalDpi="600" verticalDpi="600" orientation="portrait" paperSize="9" r:id="rId1"/>
  <headerFooter>
    <oddHeader xml:space="preserve">&amp;CPartial Risk Gurantee for Energy Efficiency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IV98"/>
  <sheetViews>
    <sheetView workbookViewId="0" topLeftCell="A3">
      <selection activeCell="A24" sqref="A24"/>
    </sheetView>
  </sheetViews>
  <sheetFormatPr defaultColWidth="0" defaultRowHeight="12.75" zeroHeight="1"/>
  <cols>
    <col min="1" max="1" width="36.57421875" style="269" customWidth="1"/>
    <col min="2" max="2" width="33.28125" style="269" bestFit="1" customWidth="1"/>
    <col min="3" max="3" width="13.28125" style="283" customWidth="1"/>
    <col min="4" max="4" width="10.140625" style="22" bestFit="1" customWidth="1"/>
    <col min="5" max="6" width="9.421875" style="269" bestFit="1" customWidth="1"/>
    <col min="7" max="7" width="8.7109375" style="269" customWidth="1"/>
    <col min="8" max="62" width="9.421875" style="269" bestFit="1" customWidth="1"/>
    <col min="63" max="16384" width="9.140625" style="269" hidden="1" customWidth="1"/>
  </cols>
  <sheetData>
    <row r="1" spans="1:5" ht="12.75">
      <c r="A1" s="179" t="str">
        <f>Parameters!$C$3</f>
        <v>Darashaw &amp; Co.</v>
      </c>
      <c r="B1" s="180"/>
      <c r="C1" s="181"/>
      <c r="D1" s="180"/>
      <c r="E1" s="314"/>
    </row>
    <row r="2" spans="1:5" ht="13.5" thickBot="1">
      <c r="A2" s="315" t="str">
        <f>Parameters!$C$4</f>
        <v>Shirdi Nagar Panchyat Street Light</v>
      </c>
      <c r="B2" s="202"/>
      <c r="C2" s="203"/>
      <c r="D2" s="202"/>
      <c r="E2" s="316"/>
    </row>
    <row r="3" spans="1:5" ht="12.75">
      <c r="A3" s="188"/>
      <c r="B3" s="23"/>
      <c r="C3" s="186"/>
      <c r="D3" s="23"/>
      <c r="E3" s="317"/>
    </row>
    <row r="4" spans="1:5" ht="12.75">
      <c r="A4" s="580" t="s">
        <v>8</v>
      </c>
      <c r="B4" s="581"/>
      <c r="C4" s="581"/>
      <c r="D4" s="23"/>
      <c r="E4" s="317"/>
    </row>
    <row r="5" spans="1:5" ht="12.75">
      <c r="A5" s="188"/>
      <c r="B5" s="23"/>
      <c r="C5" s="186"/>
      <c r="D5" s="23"/>
      <c r="E5" s="317"/>
    </row>
    <row r="6" spans="1:5" ht="12.75">
      <c r="A6" s="188"/>
      <c r="B6" s="318" t="s">
        <v>9</v>
      </c>
      <c r="C6" s="319" t="str">
        <f>CONCATENATE(Parameters!C11," ",Parameters!C12)</f>
        <v>INR Lacs</v>
      </c>
      <c r="D6" s="23"/>
      <c r="E6" s="317"/>
    </row>
    <row r="7" spans="1:6" ht="12.75">
      <c r="A7" s="194" t="s">
        <v>10</v>
      </c>
      <c r="B7" s="206" t="s">
        <v>11</v>
      </c>
      <c r="C7" s="200" t="s">
        <v>12</v>
      </c>
      <c r="D7" s="23"/>
      <c r="E7" s="312"/>
      <c r="F7" s="582">
        <v>36</v>
      </c>
    </row>
    <row r="8" spans="1:6" ht="12.75">
      <c r="A8" s="320">
        <v>1</v>
      </c>
      <c r="B8" s="192" t="s">
        <v>13</v>
      </c>
      <c r="C8" s="321">
        <v>0</v>
      </c>
      <c r="D8" s="23"/>
      <c r="E8" s="312"/>
      <c r="F8" s="583"/>
    </row>
    <row r="9" spans="1:6" ht="12.75">
      <c r="A9" s="320">
        <v>2</v>
      </c>
      <c r="B9" s="192" t="s">
        <v>14</v>
      </c>
      <c r="C9" s="321">
        <v>0</v>
      </c>
      <c r="D9" s="23"/>
      <c r="E9" s="312"/>
      <c r="F9" s="583"/>
    </row>
    <row r="10" spans="1:6" ht="12.75">
      <c r="A10" s="320">
        <v>3</v>
      </c>
      <c r="B10" s="192" t="s">
        <v>95</v>
      </c>
      <c r="C10" s="321">
        <v>117</v>
      </c>
      <c r="D10" s="23"/>
      <c r="E10" s="312"/>
      <c r="F10" s="583"/>
    </row>
    <row r="11" spans="1:6" ht="12.75">
      <c r="A11" s="320">
        <v>4</v>
      </c>
      <c r="B11" s="192" t="s">
        <v>278</v>
      </c>
      <c r="C11" s="321">
        <v>5</v>
      </c>
      <c r="D11" s="471"/>
      <c r="E11" s="312"/>
      <c r="F11" s="584"/>
    </row>
    <row r="12" spans="1:5" ht="12.75">
      <c r="A12" s="322" t="s">
        <v>173</v>
      </c>
      <c r="B12" s="194" t="s">
        <v>8</v>
      </c>
      <c r="C12" s="452">
        <f>SUM(C8:C11)</f>
        <v>122</v>
      </c>
      <c r="D12" s="23"/>
      <c r="E12" s="317"/>
    </row>
    <row r="13" spans="1:5" ht="12.75">
      <c r="A13" s="320"/>
      <c r="B13" s="192"/>
      <c r="C13" s="213"/>
      <c r="D13" s="23"/>
      <c r="E13" s="317"/>
    </row>
    <row r="14" spans="1:8" ht="12.75">
      <c r="A14" s="320">
        <v>5</v>
      </c>
      <c r="B14" s="192" t="s">
        <v>97</v>
      </c>
      <c r="C14" s="470">
        <f>C10*Parameters!$C$99</f>
        <v>5.8500000000000005</v>
      </c>
      <c r="D14" s="410"/>
      <c r="E14" s="317"/>
      <c r="H14" s="473"/>
    </row>
    <row r="15" spans="1:62" ht="12.75">
      <c r="A15" s="633">
        <v>6</v>
      </c>
      <c r="B15" s="634" t="s">
        <v>100</v>
      </c>
      <c r="C15" s="635">
        <f>B41</f>
        <v>1.546316833496094</v>
      </c>
      <c r="D15" s="636"/>
      <c r="E15" s="637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  <c r="BF15" s="638"/>
      <c r="BG15" s="638"/>
      <c r="BH15" s="638"/>
      <c r="BI15" s="638"/>
      <c r="BJ15" s="638"/>
    </row>
    <row r="16" spans="1:62" ht="12.75">
      <c r="A16" s="633">
        <v>7</v>
      </c>
      <c r="B16" s="634" t="s">
        <v>99</v>
      </c>
      <c r="C16" s="639">
        <v>0</v>
      </c>
      <c r="D16" s="636"/>
      <c r="E16" s="637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  <c r="BF16" s="638"/>
      <c r="BG16" s="638"/>
      <c r="BH16" s="638"/>
      <c r="BI16" s="638"/>
      <c r="BJ16" s="638"/>
    </row>
    <row r="17" spans="1:62" ht="12.75">
      <c r="A17" s="634"/>
      <c r="B17" s="640" t="s">
        <v>172</v>
      </c>
      <c r="C17" s="641">
        <f>SUM(C14:C16)+C12</f>
        <v>129.3963168334961</v>
      </c>
      <c r="D17" s="642"/>
      <c r="E17" s="637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  <c r="AU17" s="638"/>
      <c r="AV17" s="638"/>
      <c r="AW17" s="638"/>
      <c r="AX17" s="638"/>
      <c r="AY17" s="638"/>
      <c r="AZ17" s="638"/>
      <c r="BA17" s="638"/>
      <c r="BB17" s="638"/>
      <c r="BC17" s="638"/>
      <c r="BD17" s="638"/>
      <c r="BE17" s="638"/>
      <c r="BF17" s="638"/>
      <c r="BG17" s="638"/>
      <c r="BH17" s="638"/>
      <c r="BI17" s="638"/>
      <c r="BJ17" s="638"/>
    </row>
    <row r="18" spans="1:62" ht="12.75">
      <c r="A18" s="634"/>
      <c r="B18" s="634"/>
      <c r="C18" s="643"/>
      <c r="D18" s="636"/>
      <c r="E18" s="637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  <c r="AT18" s="638"/>
      <c r="AU18" s="638"/>
      <c r="AV18" s="638"/>
      <c r="AW18" s="638"/>
      <c r="AX18" s="638"/>
      <c r="AY18" s="638"/>
      <c r="AZ18" s="638"/>
      <c r="BA18" s="638"/>
      <c r="BB18" s="638"/>
      <c r="BC18" s="638"/>
      <c r="BD18" s="638"/>
      <c r="BE18" s="638"/>
      <c r="BF18" s="638"/>
      <c r="BG18" s="638"/>
      <c r="BH18" s="638"/>
      <c r="BI18" s="638"/>
      <c r="BJ18" s="638"/>
    </row>
    <row r="19" spans="1:62" ht="12.75">
      <c r="A19" s="644" t="s">
        <v>16</v>
      </c>
      <c r="B19" s="644"/>
      <c r="C19" s="644"/>
      <c r="D19" s="636"/>
      <c r="E19" s="637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</row>
    <row r="20" spans="1:62" ht="12.75">
      <c r="A20" s="634"/>
      <c r="B20" s="634"/>
      <c r="C20" s="645"/>
      <c r="D20" s="636"/>
      <c r="E20" s="637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</row>
    <row r="21" spans="1:62" ht="12.75">
      <c r="A21" s="646" t="s">
        <v>17</v>
      </c>
      <c r="B21" s="634" t="s">
        <v>18</v>
      </c>
      <c r="C21" s="635">
        <f>((C10*(1+Parameters!$C$99))*(Parameters!$C$16))+(C11)+'Capital Cost '!C16</f>
        <v>54.14000000000001</v>
      </c>
      <c r="D21" s="647">
        <f>C21/C24</f>
        <v>0.4184044903663369</v>
      </c>
      <c r="E21" s="637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8"/>
      <c r="AH21" s="638"/>
      <c r="AI21" s="638"/>
      <c r="AJ21" s="638"/>
      <c r="AK21" s="638"/>
      <c r="AL21" s="638"/>
      <c r="AM21" s="638"/>
      <c r="AN21" s="638"/>
      <c r="AO21" s="638"/>
      <c r="AP21" s="638"/>
      <c r="AQ21" s="638"/>
      <c r="AR21" s="638"/>
      <c r="AS21" s="638"/>
      <c r="AT21" s="638"/>
      <c r="AU21" s="638"/>
      <c r="AV21" s="638"/>
      <c r="AW21" s="638"/>
      <c r="AX21" s="638"/>
      <c r="AY21" s="638"/>
      <c r="AZ21" s="638"/>
      <c r="BA21" s="638"/>
      <c r="BB21" s="638"/>
      <c r="BC21" s="638"/>
      <c r="BD21" s="638"/>
      <c r="BE21" s="638"/>
      <c r="BF21" s="638"/>
      <c r="BG21" s="638"/>
      <c r="BH21" s="638"/>
      <c r="BI21" s="638"/>
      <c r="BJ21" s="638"/>
    </row>
    <row r="22" spans="1:62" ht="12.75">
      <c r="A22" s="646" t="s">
        <v>19</v>
      </c>
      <c r="B22" s="634" t="s">
        <v>20</v>
      </c>
      <c r="C22" s="635">
        <f>B31+B41</f>
        <v>75.2563168334961</v>
      </c>
      <c r="D22" s="647">
        <f>C22/C24</f>
        <v>0.581595509633663</v>
      </c>
      <c r="E22" s="637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</row>
    <row r="23" spans="1:62" ht="12.75">
      <c r="A23" s="634"/>
      <c r="B23" s="634"/>
      <c r="C23" s="645"/>
      <c r="D23" s="648"/>
      <c r="E23" s="637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</row>
    <row r="24" spans="1:62" ht="12.75">
      <c r="A24" s="634"/>
      <c r="B24" s="640" t="s">
        <v>15</v>
      </c>
      <c r="C24" s="641">
        <f>SUM(C21:C23)</f>
        <v>129.39631683349612</v>
      </c>
      <c r="D24" s="636"/>
      <c r="E24" s="637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</row>
    <row r="25" spans="1:62" ht="12.75">
      <c r="A25" s="646"/>
      <c r="B25" s="634"/>
      <c r="C25" s="649"/>
      <c r="D25" s="636"/>
      <c r="E25" s="637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8"/>
      <c r="Y25" s="638"/>
      <c r="Z25" s="638"/>
      <c r="AA25" s="638"/>
      <c r="AB25" s="638"/>
      <c r="AC25" s="638"/>
      <c r="AD25" s="638"/>
      <c r="AE25" s="638"/>
      <c r="AF25" s="638"/>
      <c r="AG25" s="638"/>
      <c r="AH25" s="638"/>
      <c r="AI25" s="638"/>
      <c r="AJ25" s="638"/>
      <c r="AK25" s="638"/>
      <c r="AL25" s="638"/>
      <c r="AM25" s="638"/>
      <c r="AN25" s="638"/>
      <c r="AO25" s="638"/>
      <c r="AP25" s="638"/>
      <c r="AQ25" s="638"/>
      <c r="AR25" s="638"/>
      <c r="AS25" s="638"/>
      <c r="AT25" s="638"/>
      <c r="AU25" s="638"/>
      <c r="AV25" s="638"/>
      <c r="AW25" s="638"/>
      <c r="AX25" s="638"/>
      <c r="AY25" s="638"/>
      <c r="AZ25" s="638"/>
      <c r="BA25" s="638"/>
      <c r="BB25" s="638"/>
      <c r="BC25" s="638"/>
      <c r="BD25" s="638"/>
      <c r="BE25" s="638"/>
      <c r="BF25" s="638"/>
      <c r="BG25" s="638"/>
      <c r="BH25" s="638"/>
      <c r="BI25" s="638"/>
      <c r="BJ25" s="638"/>
    </row>
    <row r="26" spans="1:62" ht="3" customHeight="1">
      <c r="A26" s="650"/>
      <c r="B26" s="651"/>
      <c r="C26" s="652"/>
      <c r="D26" s="636"/>
      <c r="E26" s="637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8"/>
      <c r="AH26" s="638"/>
      <c r="AI26" s="638"/>
      <c r="AJ26" s="638"/>
      <c r="AK26" s="638"/>
      <c r="AL26" s="638"/>
      <c r="AM26" s="638"/>
      <c r="AN26" s="638"/>
      <c r="AO26" s="638"/>
      <c r="AP26" s="638"/>
      <c r="AQ26" s="638"/>
      <c r="AR26" s="638"/>
      <c r="AS26" s="638"/>
      <c r="AT26" s="638"/>
      <c r="AU26" s="638"/>
      <c r="AV26" s="638"/>
      <c r="AW26" s="638"/>
      <c r="AX26" s="638"/>
      <c r="AY26" s="638"/>
      <c r="AZ26" s="638"/>
      <c r="BA26" s="638"/>
      <c r="BB26" s="638"/>
      <c r="BC26" s="638"/>
      <c r="BD26" s="638"/>
      <c r="BE26" s="638"/>
      <c r="BF26" s="638"/>
      <c r="BG26" s="638"/>
      <c r="BH26" s="638"/>
      <c r="BI26" s="638"/>
      <c r="BJ26" s="638"/>
    </row>
    <row r="27" spans="1:62" ht="12.75">
      <c r="A27" s="650"/>
      <c r="B27" s="651"/>
      <c r="C27" s="652"/>
      <c r="D27" s="636"/>
      <c r="E27" s="637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  <c r="AT27" s="638"/>
      <c r="AU27" s="638"/>
      <c r="AV27" s="638"/>
      <c r="AW27" s="638"/>
      <c r="AX27" s="638"/>
      <c r="AY27" s="638"/>
      <c r="AZ27" s="638"/>
      <c r="BA27" s="638"/>
      <c r="BB27" s="638"/>
      <c r="BC27" s="638"/>
      <c r="BD27" s="638"/>
      <c r="BE27" s="638"/>
      <c r="BF27" s="638"/>
      <c r="BG27" s="638"/>
      <c r="BH27" s="638"/>
      <c r="BI27" s="638"/>
      <c r="BJ27" s="638"/>
    </row>
    <row r="28" spans="1:62" s="161" customFormat="1" ht="15.75">
      <c r="A28" s="653" t="s">
        <v>252</v>
      </c>
      <c r="B28" s="654" t="s">
        <v>286</v>
      </c>
      <c r="C28" s="655">
        <v>1</v>
      </c>
      <c r="D28" s="655">
        <v>2</v>
      </c>
      <c r="E28" s="655">
        <v>3</v>
      </c>
      <c r="F28" s="655">
        <v>4</v>
      </c>
      <c r="G28" s="655">
        <v>5</v>
      </c>
      <c r="H28" s="655">
        <v>6</v>
      </c>
      <c r="I28" s="655">
        <v>7</v>
      </c>
      <c r="J28" s="655">
        <v>8</v>
      </c>
      <c r="K28" s="655">
        <v>9</v>
      </c>
      <c r="L28" s="655">
        <v>10</v>
      </c>
      <c r="M28" s="655">
        <v>11</v>
      </c>
      <c r="N28" s="655">
        <v>12</v>
      </c>
      <c r="O28" s="655">
        <v>13</v>
      </c>
      <c r="P28" s="655">
        <v>14</v>
      </c>
      <c r="Q28" s="655">
        <v>15</v>
      </c>
      <c r="R28" s="655">
        <v>16</v>
      </c>
      <c r="S28" s="655">
        <v>17</v>
      </c>
      <c r="T28" s="655">
        <v>18</v>
      </c>
      <c r="U28" s="655">
        <v>19</v>
      </c>
      <c r="V28" s="655">
        <v>20</v>
      </c>
      <c r="W28" s="655">
        <v>21</v>
      </c>
      <c r="X28" s="655">
        <v>22</v>
      </c>
      <c r="Y28" s="655">
        <v>23</v>
      </c>
      <c r="Z28" s="655">
        <v>24</v>
      </c>
      <c r="AA28" s="655">
        <v>25</v>
      </c>
      <c r="AB28" s="655">
        <v>26</v>
      </c>
      <c r="AC28" s="655">
        <v>27</v>
      </c>
      <c r="AD28" s="655">
        <v>28</v>
      </c>
      <c r="AE28" s="655">
        <v>29</v>
      </c>
      <c r="AF28" s="655">
        <v>30</v>
      </c>
      <c r="AG28" s="655">
        <v>31</v>
      </c>
      <c r="AH28" s="655">
        <v>32</v>
      </c>
      <c r="AI28" s="655">
        <v>33</v>
      </c>
      <c r="AJ28" s="655">
        <v>34</v>
      </c>
      <c r="AK28" s="655">
        <v>35</v>
      </c>
      <c r="AL28" s="655">
        <v>36</v>
      </c>
      <c r="AM28" s="655">
        <v>37</v>
      </c>
      <c r="AN28" s="655">
        <v>38</v>
      </c>
      <c r="AO28" s="655">
        <v>39</v>
      </c>
      <c r="AP28" s="655">
        <v>40</v>
      </c>
      <c r="AQ28" s="655">
        <v>41</v>
      </c>
      <c r="AR28" s="655">
        <v>42</v>
      </c>
      <c r="AS28" s="655">
        <v>43</v>
      </c>
      <c r="AT28" s="655">
        <v>44</v>
      </c>
      <c r="AU28" s="655">
        <v>45</v>
      </c>
      <c r="AV28" s="655">
        <v>46</v>
      </c>
      <c r="AW28" s="655">
        <v>47</v>
      </c>
      <c r="AX28" s="655">
        <v>48</v>
      </c>
      <c r="AY28" s="655">
        <v>49</v>
      </c>
      <c r="AZ28" s="655">
        <v>50</v>
      </c>
      <c r="BA28" s="655">
        <v>51</v>
      </c>
      <c r="BB28" s="655">
        <v>52</v>
      </c>
      <c r="BC28" s="655">
        <v>53</v>
      </c>
      <c r="BD28" s="655">
        <v>54</v>
      </c>
      <c r="BE28" s="655">
        <v>55</v>
      </c>
      <c r="BF28" s="655">
        <v>56</v>
      </c>
      <c r="BG28" s="655">
        <v>57</v>
      </c>
      <c r="BH28" s="655">
        <v>58</v>
      </c>
      <c r="BI28" s="655">
        <v>59</v>
      </c>
      <c r="BJ28" s="655">
        <v>60</v>
      </c>
    </row>
    <row r="29" spans="1:62" s="161" customFormat="1" ht="15.75">
      <c r="A29" s="653" t="str">
        <f>B9</f>
        <v>Building</v>
      </c>
      <c r="B29" s="653">
        <f>C9*Parameters!$C$17</f>
        <v>0</v>
      </c>
      <c r="C29" s="654">
        <f>IF(C28&lt;=Parameters!$C$23,$B$29/Parameters!$C$23,0)</f>
        <v>0</v>
      </c>
      <c r="D29" s="654">
        <f>IF(D28&lt;=Parameters!$C$23,$B$29/Parameters!$C$23,0)</f>
        <v>0</v>
      </c>
      <c r="E29" s="654">
        <f>IF(E28&lt;=Parameters!$C$23,$B$29/Parameters!$C$23,0)</f>
        <v>0</v>
      </c>
      <c r="F29" s="654">
        <f>IF(F28&lt;=Parameters!$C$23,$B$29/Parameters!$C$23,0)</f>
        <v>0</v>
      </c>
      <c r="G29" s="654">
        <f>IF(G28&lt;=Parameters!$C$23,$B$29/Parameters!$C$23,0)</f>
        <v>0</v>
      </c>
      <c r="H29" s="654">
        <f>IF(H28&lt;=Parameters!$C$23,$B$29/Parameters!$C$23,0)</f>
        <v>0</v>
      </c>
      <c r="I29" s="654">
        <f>IF(I28&lt;=Parameters!$C$23,$B$29/Parameters!$C$23,0)</f>
        <v>0</v>
      </c>
      <c r="J29" s="654">
        <f>IF(J28&lt;=Parameters!$C$23,$B$29/Parameters!$C$23,0)</f>
        <v>0</v>
      </c>
      <c r="K29" s="654">
        <f>IF(K28&lt;=Parameters!$C$23,$B$29/Parameters!$C$23,0)</f>
        <v>0</v>
      </c>
      <c r="L29" s="654">
        <f>IF(L28&lt;=Parameters!$C$23,$B$29/Parameters!$C$23,0)</f>
        <v>0</v>
      </c>
      <c r="M29" s="654">
        <f>IF(M28&lt;=Parameters!$C$23,$B$29/Parameters!$C$23,0)</f>
        <v>0</v>
      </c>
      <c r="N29" s="654">
        <f>IF(N28&lt;=Parameters!$C$23,$B$29/Parameters!$C$23,0)</f>
        <v>0</v>
      </c>
      <c r="O29" s="654">
        <f>IF(O28&lt;=Parameters!$C$23,$B$29/Parameters!$C$23,0)</f>
        <v>0</v>
      </c>
      <c r="P29" s="654">
        <f>IF(P28&lt;=Parameters!$C$23,$B$29/Parameters!$C$23,0)</f>
        <v>0</v>
      </c>
      <c r="Q29" s="654">
        <f>IF(Q28&lt;=Parameters!$C$23,$B$29/Parameters!$C$23,0)</f>
        <v>0</v>
      </c>
      <c r="R29" s="654">
        <f>IF(R28&lt;=Parameters!$C$23,$B$29/Parameters!$C$23,0)</f>
        <v>0</v>
      </c>
      <c r="S29" s="654">
        <f>IF(S28&lt;=Parameters!$C$23,$B$29/Parameters!$C$23,0)</f>
        <v>0</v>
      </c>
      <c r="T29" s="654">
        <f>IF(T28&lt;=Parameters!$C$23,$B$29/Parameters!$C$23,0)</f>
        <v>0</v>
      </c>
      <c r="U29" s="654">
        <f>IF(U28&lt;=Parameters!$C$23,$B$29/Parameters!$C$23,0)</f>
        <v>0</v>
      </c>
      <c r="V29" s="654">
        <f>IF(V28&lt;=Parameters!$C$23,$B$29/Parameters!$C$23,0)</f>
        <v>0</v>
      </c>
      <c r="W29" s="654">
        <f>IF(W28&lt;=Parameters!$C$23,$B$29/Parameters!$C$23,0)</f>
        <v>0</v>
      </c>
      <c r="X29" s="654">
        <f>IF(X28&lt;=Parameters!$C$23,$B$29/Parameters!$C$23,0)</f>
        <v>0</v>
      </c>
      <c r="Y29" s="654">
        <f>IF(Y28&lt;=Parameters!$C$23,$B$29/Parameters!$C$23,0)</f>
        <v>0</v>
      </c>
      <c r="Z29" s="654">
        <f>IF(Z28&lt;=Parameters!$C$23,$B$29/Parameters!$C$23,0)</f>
        <v>0</v>
      </c>
      <c r="AA29" s="654">
        <f>IF(AA28&lt;=Parameters!$C$23,$B$29/Parameters!$C$23,0)</f>
        <v>0</v>
      </c>
      <c r="AB29" s="654">
        <f>IF(AB28&lt;=Parameters!$C$23,$B$29/Parameters!$C$23,0)</f>
        <v>0</v>
      </c>
      <c r="AC29" s="654">
        <f>IF(AC28&lt;=Parameters!$C$23,$B$29/Parameters!$C$23,0)</f>
        <v>0</v>
      </c>
      <c r="AD29" s="654">
        <f>IF(AD28&lt;=Parameters!$C$23,$B$29/Parameters!$C$23,0)</f>
        <v>0</v>
      </c>
      <c r="AE29" s="654">
        <f>IF(AE28&lt;=Parameters!$C$23,$B$29/Parameters!$C$23,0)</f>
        <v>0</v>
      </c>
      <c r="AF29" s="654">
        <f>IF(AF28&lt;=Parameters!$C$23,$B$29/Parameters!$C$23,0)</f>
        <v>0</v>
      </c>
      <c r="AG29" s="654">
        <f>IF(AG28&lt;=Parameters!$C$23,$B$29/Parameters!$C$23,0)</f>
        <v>0</v>
      </c>
      <c r="AH29" s="654">
        <f>IF(AH28&lt;=Parameters!$C$23,$B$29/Parameters!$C$23,0)</f>
        <v>0</v>
      </c>
      <c r="AI29" s="654">
        <f>IF(AI28&lt;=Parameters!$C$23,$B$29/Parameters!$C$23,0)</f>
        <v>0</v>
      </c>
      <c r="AJ29" s="654">
        <f>IF(AJ28&lt;=Parameters!$C$23,$B$29/Parameters!$C$23,0)</f>
        <v>0</v>
      </c>
      <c r="AK29" s="654">
        <f>IF(AK28&lt;=Parameters!$C$23,$B$29/Parameters!$C$23,0)</f>
        <v>0</v>
      </c>
      <c r="AL29" s="654">
        <f>IF(AL28&lt;=Parameters!$C$23,$B$29/Parameters!$C$23,0)</f>
        <v>0</v>
      </c>
      <c r="AM29" s="654">
        <f>IF(AM28&lt;=Parameters!$C$23,$B$29/Parameters!$C$23,0)</f>
        <v>0</v>
      </c>
      <c r="AN29" s="654">
        <f>IF(AN28&lt;=Parameters!$C$23,$B$29/Parameters!$C$23,0)</f>
        <v>0</v>
      </c>
      <c r="AO29" s="654">
        <f>IF(AO28&lt;=Parameters!$C$23,$B$29/Parameters!$C$23,0)</f>
        <v>0</v>
      </c>
      <c r="AP29" s="654">
        <f>IF(AP28&lt;=Parameters!$C$23,$B$29/Parameters!$C$23,0)</f>
        <v>0</v>
      </c>
      <c r="AQ29" s="654">
        <f>IF(AQ28&lt;=Parameters!$C$23,$B$29/Parameters!$C$23,0)</f>
        <v>0</v>
      </c>
      <c r="AR29" s="654">
        <f>IF(AR28&lt;=Parameters!$C$23,$B$29/Parameters!$C$23,0)</f>
        <v>0</v>
      </c>
      <c r="AS29" s="654">
        <f>IF(AS28&lt;=Parameters!$C$23,$B$29/Parameters!$C$23,0)</f>
        <v>0</v>
      </c>
      <c r="AT29" s="654">
        <f>IF(AT28&lt;=Parameters!$C$23,$B$29/Parameters!$C$23,0)</f>
        <v>0</v>
      </c>
      <c r="AU29" s="654">
        <f>IF(AU28&lt;=Parameters!$C$23,$B$29/Parameters!$C$23,0)</f>
        <v>0</v>
      </c>
      <c r="AV29" s="654">
        <f>IF(AV28&lt;=Parameters!$C$23,$B$29/Parameters!$C$23,0)</f>
        <v>0</v>
      </c>
      <c r="AW29" s="654">
        <f>IF(AW28&lt;=Parameters!$C$23,$B$29/Parameters!$C$23,0)</f>
        <v>0</v>
      </c>
      <c r="AX29" s="654">
        <f>IF(AX28&lt;=Parameters!$C$23,$B$29/Parameters!$C$23,0)</f>
        <v>0</v>
      </c>
      <c r="AY29" s="654">
        <f>IF(AY28&lt;=Parameters!$C$23,$B$29/Parameters!$C$23,0)</f>
        <v>0</v>
      </c>
      <c r="AZ29" s="654">
        <f>IF(AZ28&lt;=Parameters!$C$23,$B$29/Parameters!$C$23,0)</f>
        <v>0</v>
      </c>
      <c r="BA29" s="654">
        <f>IF(BA28&lt;=Parameters!$C$23,$B$29/Parameters!$C$23,0)</f>
        <v>0</v>
      </c>
      <c r="BB29" s="654">
        <f>IF(BB28&lt;=Parameters!$C$23,$B$29/Parameters!$C$23,0)</f>
        <v>0</v>
      </c>
      <c r="BC29" s="654">
        <f>IF(BC28&lt;=Parameters!$C$23,$B$29/Parameters!$C$23,0)</f>
        <v>0</v>
      </c>
      <c r="BD29" s="654">
        <f>IF(BD28&lt;=Parameters!$C$23,$B$29/Parameters!$C$23,0)</f>
        <v>0</v>
      </c>
      <c r="BE29" s="654">
        <f>IF(BE28&lt;=Parameters!$C$23,$B$29/Parameters!$C$23,0)</f>
        <v>0</v>
      </c>
      <c r="BF29" s="654">
        <f>IF(BF28&lt;=Parameters!$C$23,$B$29/Parameters!$C$23,0)</f>
        <v>0</v>
      </c>
      <c r="BG29" s="654">
        <f>IF(BG28&lt;=Parameters!$C$23,$B$29/Parameters!$C$23,0)</f>
        <v>0</v>
      </c>
      <c r="BH29" s="654">
        <f>IF(BH28&lt;=Parameters!$C$23,$B$29/Parameters!$C$23,0)</f>
        <v>0</v>
      </c>
      <c r="BI29" s="654">
        <f>IF(BI28&lt;=Parameters!$C$23,$B$29/Parameters!$C$23,0)</f>
        <v>0</v>
      </c>
      <c r="BJ29" s="654">
        <f>IF(BJ28&lt;=Parameters!$C$23,$B$29/Parameters!$C$23,0)</f>
        <v>0</v>
      </c>
    </row>
    <row r="30" spans="1:62" s="161" customFormat="1" ht="15.75">
      <c r="A30" s="653" t="str">
        <f>B10</f>
        <v>Plant &amp; Machinery</v>
      </c>
      <c r="B30" s="653">
        <f>(C10*(1+Parameters!C99)*Parameters!$C$17)</f>
        <v>73.71000000000001</v>
      </c>
      <c r="C30" s="654">
        <f>IF(C28&lt;=Parameters!$C$23,$B$30/Parameters!$C$23,0)</f>
        <v>24.570000000000004</v>
      </c>
      <c r="D30" s="654">
        <f>IF(D28&lt;=Parameters!$C$23,$B$30/Parameters!$C$23,0)</f>
        <v>24.570000000000004</v>
      </c>
      <c r="E30" s="654">
        <f>IF(E28&lt;=Parameters!$C$23,$B$30/Parameters!$C$23,0)</f>
        <v>24.570000000000004</v>
      </c>
      <c r="F30" s="654">
        <f>IF(F28&lt;=Parameters!$C$23,$B$30/Parameters!$C$23,0)</f>
        <v>0</v>
      </c>
      <c r="G30" s="654">
        <f>IF(G28&lt;=Parameters!$C$23,$B$30/Parameters!$C$23,0)</f>
        <v>0</v>
      </c>
      <c r="H30" s="654">
        <f>IF(H28&lt;=Parameters!$C$23,$B$30/Parameters!$C$23,0)</f>
        <v>0</v>
      </c>
      <c r="I30" s="654">
        <f>IF(I28&lt;=Parameters!$C$23,$B$30/Parameters!$C$23,0)</f>
        <v>0</v>
      </c>
      <c r="J30" s="654">
        <f>IF(J28&lt;=Parameters!$C$23,$B$30/Parameters!$C$23,0)</f>
        <v>0</v>
      </c>
      <c r="K30" s="654">
        <f>IF(K28&lt;=Parameters!$C$23,$B$30/Parameters!$C$23,0)</f>
        <v>0</v>
      </c>
      <c r="L30" s="654">
        <f>IF(L28&lt;=Parameters!$C$23,$B$30/Parameters!$C$23,0)</f>
        <v>0</v>
      </c>
      <c r="M30" s="654">
        <f>IF(M28&lt;=Parameters!$C$23,$B$30/Parameters!$C$23,0)</f>
        <v>0</v>
      </c>
      <c r="N30" s="654">
        <f>IF(N28&lt;=Parameters!$C$23,$B$30/Parameters!$C$23,0)</f>
        <v>0</v>
      </c>
      <c r="O30" s="654">
        <f>IF(O28&lt;=Parameters!$C$23,$B$30/Parameters!$C$23,0)</f>
        <v>0</v>
      </c>
      <c r="P30" s="654">
        <f>IF(P28&lt;=Parameters!$C$23,$B$30/Parameters!$C$23,0)</f>
        <v>0</v>
      </c>
      <c r="Q30" s="654">
        <f>IF(Q28&lt;=Parameters!$C$23,$B$30/Parameters!$C$23,0)</f>
        <v>0</v>
      </c>
      <c r="R30" s="654">
        <f>IF(R28&lt;=Parameters!$C$23,$B$30/Parameters!$C$23,0)</f>
        <v>0</v>
      </c>
      <c r="S30" s="654">
        <f>IF(S28&lt;=Parameters!$C$23,$B$30/Parameters!$C$23,0)</f>
        <v>0</v>
      </c>
      <c r="T30" s="654">
        <f>IF(T28&lt;=Parameters!$C$23,$B$30/Parameters!$C$23,0)</f>
        <v>0</v>
      </c>
      <c r="U30" s="654">
        <f>IF(U28&lt;=Parameters!$C$23,$B$30/Parameters!$C$23,0)</f>
        <v>0</v>
      </c>
      <c r="V30" s="654">
        <f>IF(V28&lt;=Parameters!$C$23,$B$30/Parameters!$C$23,0)</f>
        <v>0</v>
      </c>
      <c r="W30" s="654">
        <f>IF(W28&lt;=Parameters!$C$23,$B$30/Parameters!$C$23,0)</f>
        <v>0</v>
      </c>
      <c r="X30" s="654">
        <f>IF(X28&lt;=Parameters!$C$23,$B$30/Parameters!$C$23,0)</f>
        <v>0</v>
      </c>
      <c r="Y30" s="654">
        <f>IF(Y28&lt;=Parameters!$C$23,$B$30/Parameters!$C$23,0)</f>
        <v>0</v>
      </c>
      <c r="Z30" s="654">
        <f>IF(Z28&lt;=Parameters!$C$23,$B$30/Parameters!$C$23,0)</f>
        <v>0</v>
      </c>
      <c r="AA30" s="654">
        <f>IF(AA28&lt;=Parameters!$C$23,$B$30/Parameters!$C$23,0)</f>
        <v>0</v>
      </c>
      <c r="AB30" s="654">
        <f>IF(AB28&lt;=Parameters!$C$23,$B$30/Parameters!$C$23,0)</f>
        <v>0</v>
      </c>
      <c r="AC30" s="654">
        <f>IF(AC28&lt;=Parameters!$C$23,$B$30/Parameters!$C$23,0)</f>
        <v>0</v>
      </c>
      <c r="AD30" s="654">
        <f>IF(AD28&lt;=Parameters!$C$23,$B$30/Parameters!$C$23,0)</f>
        <v>0</v>
      </c>
      <c r="AE30" s="654">
        <f>IF(AE28&lt;=Parameters!$C$23,$B$30/Parameters!$C$23,0)</f>
        <v>0</v>
      </c>
      <c r="AF30" s="654">
        <f>IF(AF28&lt;=Parameters!$C$23,$B$30/Parameters!$C$23,0)</f>
        <v>0</v>
      </c>
      <c r="AG30" s="654">
        <f>IF(AG28&lt;=Parameters!$C$23,$B$30/Parameters!$C$23,0)</f>
        <v>0</v>
      </c>
      <c r="AH30" s="654">
        <f>IF(AH28&lt;=Parameters!$C$23,$B$30/Parameters!$C$23,0)</f>
        <v>0</v>
      </c>
      <c r="AI30" s="654">
        <f>IF(AI28&lt;=Parameters!$C$23,$B$30/Parameters!$C$23,0)</f>
        <v>0</v>
      </c>
      <c r="AJ30" s="654">
        <f>IF(AJ28&lt;=Parameters!$C$23,$B$30/Parameters!$C$23,0)</f>
        <v>0</v>
      </c>
      <c r="AK30" s="654">
        <f>IF(AK28&lt;=Parameters!$C$23,$B$30/Parameters!$C$23,0)</f>
        <v>0</v>
      </c>
      <c r="AL30" s="654">
        <f>IF(AL28&lt;=Parameters!$C$23,$B$30/Parameters!$C$23,0)</f>
        <v>0</v>
      </c>
      <c r="AM30" s="654">
        <f>IF(AM28&lt;=Parameters!$C$23,$B$30/Parameters!$C$23,0)</f>
        <v>0</v>
      </c>
      <c r="AN30" s="654">
        <f>IF(AN28&lt;=Parameters!$C$23,$B$30/Parameters!$C$23,0)</f>
        <v>0</v>
      </c>
      <c r="AO30" s="654">
        <f>IF(AO28&lt;=Parameters!$C$23,$B$30/Parameters!$C$23,0)</f>
        <v>0</v>
      </c>
      <c r="AP30" s="654">
        <f>IF(AP28&lt;=Parameters!$C$23,$B$30/Parameters!$C$23,0)</f>
        <v>0</v>
      </c>
      <c r="AQ30" s="654">
        <f>IF(AQ28&lt;=Parameters!$C$23,$B$30/Parameters!$C$23,0)</f>
        <v>0</v>
      </c>
      <c r="AR30" s="654">
        <f>IF(AR28&lt;=Parameters!$C$23,$B$30/Parameters!$C$23,0)</f>
        <v>0</v>
      </c>
      <c r="AS30" s="654">
        <f>IF(AS28&lt;=Parameters!$C$23,$B$30/Parameters!$C$23,0)</f>
        <v>0</v>
      </c>
      <c r="AT30" s="654">
        <f>IF(AT28&lt;=Parameters!$C$23,$B$30/Parameters!$C$23,0)</f>
        <v>0</v>
      </c>
      <c r="AU30" s="654">
        <f>IF(AU28&lt;=Parameters!$C$23,$B$30/Parameters!$C$23,0)</f>
        <v>0</v>
      </c>
      <c r="AV30" s="654">
        <f>IF(AV28&lt;=Parameters!$C$23,$B$30/Parameters!$C$23,0)</f>
        <v>0</v>
      </c>
      <c r="AW30" s="654">
        <f>IF(AW28&lt;=Parameters!$C$23,$B$30/Parameters!$C$23,0)</f>
        <v>0</v>
      </c>
      <c r="AX30" s="654">
        <f>IF(AX28&lt;=Parameters!$C$23,$B$30/Parameters!$C$23,0)</f>
        <v>0</v>
      </c>
      <c r="AY30" s="654">
        <f>IF(AY28&lt;=Parameters!$C$23,$B$30/Parameters!$C$23,0)</f>
        <v>0</v>
      </c>
      <c r="AZ30" s="654">
        <f>IF(AZ28&lt;=Parameters!$C$23,$B$30/Parameters!$C$23,0)</f>
        <v>0</v>
      </c>
      <c r="BA30" s="654">
        <f>IF(BA28&lt;=Parameters!$C$23,$B$30/Parameters!$C$23,0)</f>
        <v>0</v>
      </c>
      <c r="BB30" s="654">
        <f>IF(BB28&lt;=Parameters!$C$23,$B$30/Parameters!$C$23,0)</f>
        <v>0</v>
      </c>
      <c r="BC30" s="654">
        <f>IF(BC28&lt;=Parameters!$C$23,$B$30/Parameters!$C$23,0)</f>
        <v>0</v>
      </c>
      <c r="BD30" s="654">
        <f>IF(BD28&lt;=Parameters!$C$23,$B$30/Parameters!$C$23,0)</f>
        <v>0</v>
      </c>
      <c r="BE30" s="654">
        <f>IF(BE28&lt;=Parameters!$C$23,$B$30/Parameters!$C$23,0)</f>
        <v>0</v>
      </c>
      <c r="BF30" s="654">
        <f>IF(BF28&lt;=Parameters!$C$23,$B$30/Parameters!$C$23,0)</f>
        <v>0</v>
      </c>
      <c r="BG30" s="654">
        <f>IF(BG28&lt;=Parameters!$C$23,$B$30/Parameters!$C$23,0)</f>
        <v>0</v>
      </c>
      <c r="BH30" s="654">
        <f>IF(BH28&lt;=Parameters!$C$23,$B$30/Parameters!$C$23,0)</f>
        <v>0</v>
      </c>
      <c r="BI30" s="654">
        <f>IF(BI28&lt;=Parameters!$C$23,$B$30/Parameters!$C$23,0)</f>
        <v>0</v>
      </c>
      <c r="BJ30" s="654">
        <f>IF(BJ28&lt;=Parameters!$C$23,$B$30/Parameters!$C$23,0)</f>
        <v>0</v>
      </c>
    </row>
    <row r="31" spans="1:62" s="161" customFormat="1" ht="15.75">
      <c r="A31" s="653" t="s">
        <v>287</v>
      </c>
      <c r="B31" s="653">
        <f>SUM(B29:B30)</f>
        <v>73.71000000000001</v>
      </c>
      <c r="C31" s="653">
        <f aca="true" t="shared" si="0" ref="C31:AG31">SUM(C29:C30)</f>
        <v>24.570000000000004</v>
      </c>
      <c r="D31" s="653">
        <f t="shared" si="0"/>
        <v>24.570000000000004</v>
      </c>
      <c r="E31" s="653">
        <f t="shared" si="0"/>
        <v>24.570000000000004</v>
      </c>
      <c r="F31" s="653">
        <f t="shared" si="0"/>
        <v>0</v>
      </c>
      <c r="G31" s="653">
        <f t="shared" si="0"/>
        <v>0</v>
      </c>
      <c r="H31" s="653">
        <f t="shared" si="0"/>
        <v>0</v>
      </c>
      <c r="I31" s="653">
        <f t="shared" si="0"/>
        <v>0</v>
      </c>
      <c r="J31" s="653">
        <f t="shared" si="0"/>
        <v>0</v>
      </c>
      <c r="K31" s="653">
        <f t="shared" si="0"/>
        <v>0</v>
      </c>
      <c r="L31" s="653">
        <f t="shared" si="0"/>
        <v>0</v>
      </c>
      <c r="M31" s="653">
        <f t="shared" si="0"/>
        <v>0</v>
      </c>
      <c r="N31" s="653">
        <f t="shared" si="0"/>
        <v>0</v>
      </c>
      <c r="O31" s="653">
        <f t="shared" si="0"/>
        <v>0</v>
      </c>
      <c r="P31" s="653">
        <f t="shared" si="0"/>
        <v>0</v>
      </c>
      <c r="Q31" s="653">
        <f t="shared" si="0"/>
        <v>0</v>
      </c>
      <c r="R31" s="653">
        <f t="shared" si="0"/>
        <v>0</v>
      </c>
      <c r="S31" s="653">
        <f t="shared" si="0"/>
        <v>0</v>
      </c>
      <c r="T31" s="653">
        <f t="shared" si="0"/>
        <v>0</v>
      </c>
      <c r="U31" s="653">
        <f t="shared" si="0"/>
        <v>0</v>
      </c>
      <c r="V31" s="653">
        <f t="shared" si="0"/>
        <v>0</v>
      </c>
      <c r="W31" s="653">
        <f t="shared" si="0"/>
        <v>0</v>
      </c>
      <c r="X31" s="653">
        <f t="shared" si="0"/>
        <v>0</v>
      </c>
      <c r="Y31" s="653">
        <f t="shared" si="0"/>
        <v>0</v>
      </c>
      <c r="Z31" s="653">
        <f t="shared" si="0"/>
        <v>0</v>
      </c>
      <c r="AA31" s="653">
        <f t="shared" si="0"/>
        <v>0</v>
      </c>
      <c r="AB31" s="653">
        <f t="shared" si="0"/>
        <v>0</v>
      </c>
      <c r="AC31" s="653">
        <f t="shared" si="0"/>
        <v>0</v>
      </c>
      <c r="AD31" s="653">
        <f t="shared" si="0"/>
        <v>0</v>
      </c>
      <c r="AE31" s="653">
        <f t="shared" si="0"/>
        <v>0</v>
      </c>
      <c r="AF31" s="653">
        <f t="shared" si="0"/>
        <v>0</v>
      </c>
      <c r="AG31" s="653">
        <f t="shared" si="0"/>
        <v>0</v>
      </c>
      <c r="AH31" s="653">
        <f aca="true" t="shared" si="1" ref="AH31:BJ31">SUM(AH29:AH30)</f>
        <v>0</v>
      </c>
      <c r="AI31" s="653">
        <f t="shared" si="1"/>
        <v>0</v>
      </c>
      <c r="AJ31" s="653">
        <f t="shared" si="1"/>
        <v>0</v>
      </c>
      <c r="AK31" s="653">
        <f t="shared" si="1"/>
        <v>0</v>
      </c>
      <c r="AL31" s="653">
        <f t="shared" si="1"/>
        <v>0</v>
      </c>
      <c r="AM31" s="653">
        <f t="shared" si="1"/>
        <v>0</v>
      </c>
      <c r="AN31" s="653">
        <f t="shared" si="1"/>
        <v>0</v>
      </c>
      <c r="AO31" s="653">
        <f t="shared" si="1"/>
        <v>0</v>
      </c>
      <c r="AP31" s="653">
        <f t="shared" si="1"/>
        <v>0</v>
      </c>
      <c r="AQ31" s="653">
        <f t="shared" si="1"/>
        <v>0</v>
      </c>
      <c r="AR31" s="653">
        <f t="shared" si="1"/>
        <v>0</v>
      </c>
      <c r="AS31" s="653">
        <f t="shared" si="1"/>
        <v>0</v>
      </c>
      <c r="AT31" s="653">
        <f t="shared" si="1"/>
        <v>0</v>
      </c>
      <c r="AU31" s="653">
        <f t="shared" si="1"/>
        <v>0</v>
      </c>
      <c r="AV31" s="653">
        <f t="shared" si="1"/>
        <v>0</v>
      </c>
      <c r="AW31" s="653">
        <f t="shared" si="1"/>
        <v>0</v>
      </c>
      <c r="AX31" s="653">
        <f t="shared" si="1"/>
        <v>0</v>
      </c>
      <c r="AY31" s="653">
        <f t="shared" si="1"/>
        <v>0</v>
      </c>
      <c r="AZ31" s="653">
        <f t="shared" si="1"/>
        <v>0</v>
      </c>
      <c r="BA31" s="653">
        <f t="shared" si="1"/>
        <v>0</v>
      </c>
      <c r="BB31" s="653">
        <f t="shared" si="1"/>
        <v>0</v>
      </c>
      <c r="BC31" s="653">
        <f t="shared" si="1"/>
        <v>0</v>
      </c>
      <c r="BD31" s="653">
        <f t="shared" si="1"/>
        <v>0</v>
      </c>
      <c r="BE31" s="653">
        <f t="shared" si="1"/>
        <v>0</v>
      </c>
      <c r="BF31" s="653">
        <f t="shared" si="1"/>
        <v>0</v>
      </c>
      <c r="BG31" s="653">
        <f t="shared" si="1"/>
        <v>0</v>
      </c>
      <c r="BH31" s="653">
        <f t="shared" si="1"/>
        <v>0</v>
      </c>
      <c r="BI31" s="653">
        <f t="shared" si="1"/>
        <v>0</v>
      </c>
      <c r="BJ31" s="653">
        <f t="shared" si="1"/>
        <v>0</v>
      </c>
    </row>
    <row r="32" spans="1:62" s="161" customFormat="1" ht="15.75">
      <c r="A32" s="656"/>
      <c r="B32" s="656"/>
      <c r="C32" s="657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6"/>
      <c r="BC32" s="656"/>
      <c r="BD32" s="656"/>
      <c r="BE32" s="656"/>
      <c r="BF32" s="656"/>
      <c r="BG32" s="656"/>
      <c r="BH32" s="656"/>
      <c r="BI32" s="656"/>
      <c r="BJ32" s="656"/>
    </row>
    <row r="33" spans="1:62" s="161" customFormat="1" ht="15.75">
      <c r="A33" s="658" t="s">
        <v>100</v>
      </c>
      <c r="B33" s="653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3"/>
      <c r="AT33" s="653"/>
      <c r="AU33" s="653"/>
      <c r="AV33" s="653"/>
      <c r="AW33" s="653"/>
      <c r="AX33" s="653"/>
      <c r="AY33" s="653"/>
      <c r="AZ33" s="653"/>
      <c r="BA33" s="653"/>
      <c r="BB33" s="653"/>
      <c r="BC33" s="653"/>
      <c r="BD33" s="653"/>
      <c r="BE33" s="653"/>
      <c r="BF33" s="653"/>
      <c r="BG33" s="653"/>
      <c r="BH33" s="653"/>
      <c r="BI33" s="653"/>
      <c r="BJ33" s="653"/>
    </row>
    <row r="34" spans="1:62" s="161" customFormat="1" ht="15.75">
      <c r="A34" s="653"/>
      <c r="B34" s="653"/>
      <c r="C34" s="659">
        <f>C28</f>
        <v>1</v>
      </c>
      <c r="D34" s="659">
        <f aca="true" t="shared" si="2" ref="D34:BJ34">D28</f>
        <v>2</v>
      </c>
      <c r="E34" s="659">
        <f t="shared" si="2"/>
        <v>3</v>
      </c>
      <c r="F34" s="659">
        <f t="shared" si="2"/>
        <v>4</v>
      </c>
      <c r="G34" s="659">
        <f t="shared" si="2"/>
        <v>5</v>
      </c>
      <c r="H34" s="659">
        <f t="shared" si="2"/>
        <v>6</v>
      </c>
      <c r="I34" s="659">
        <f t="shared" si="2"/>
        <v>7</v>
      </c>
      <c r="J34" s="659">
        <f t="shared" si="2"/>
        <v>8</v>
      </c>
      <c r="K34" s="659">
        <f t="shared" si="2"/>
        <v>9</v>
      </c>
      <c r="L34" s="659">
        <f t="shared" si="2"/>
        <v>10</v>
      </c>
      <c r="M34" s="659">
        <f t="shared" si="2"/>
        <v>11</v>
      </c>
      <c r="N34" s="659">
        <f t="shared" si="2"/>
        <v>12</v>
      </c>
      <c r="O34" s="659">
        <f t="shared" si="2"/>
        <v>13</v>
      </c>
      <c r="P34" s="659">
        <f t="shared" si="2"/>
        <v>14</v>
      </c>
      <c r="Q34" s="659">
        <f t="shared" si="2"/>
        <v>15</v>
      </c>
      <c r="R34" s="659">
        <f t="shared" si="2"/>
        <v>16</v>
      </c>
      <c r="S34" s="659">
        <f t="shared" si="2"/>
        <v>17</v>
      </c>
      <c r="T34" s="659">
        <f t="shared" si="2"/>
        <v>18</v>
      </c>
      <c r="U34" s="659">
        <f t="shared" si="2"/>
        <v>19</v>
      </c>
      <c r="V34" s="659">
        <f t="shared" si="2"/>
        <v>20</v>
      </c>
      <c r="W34" s="659">
        <f t="shared" si="2"/>
        <v>21</v>
      </c>
      <c r="X34" s="659">
        <f t="shared" si="2"/>
        <v>22</v>
      </c>
      <c r="Y34" s="659">
        <f t="shared" si="2"/>
        <v>23</v>
      </c>
      <c r="Z34" s="659">
        <f t="shared" si="2"/>
        <v>24</v>
      </c>
      <c r="AA34" s="659">
        <f t="shared" si="2"/>
        <v>25</v>
      </c>
      <c r="AB34" s="659">
        <f t="shared" si="2"/>
        <v>26</v>
      </c>
      <c r="AC34" s="659">
        <f t="shared" si="2"/>
        <v>27</v>
      </c>
      <c r="AD34" s="659">
        <f t="shared" si="2"/>
        <v>28</v>
      </c>
      <c r="AE34" s="659">
        <f t="shared" si="2"/>
        <v>29</v>
      </c>
      <c r="AF34" s="659">
        <f t="shared" si="2"/>
        <v>30</v>
      </c>
      <c r="AG34" s="659">
        <f t="shared" si="2"/>
        <v>31</v>
      </c>
      <c r="AH34" s="659">
        <f t="shared" si="2"/>
        <v>32</v>
      </c>
      <c r="AI34" s="659">
        <f t="shared" si="2"/>
        <v>33</v>
      </c>
      <c r="AJ34" s="659">
        <f t="shared" si="2"/>
        <v>34</v>
      </c>
      <c r="AK34" s="659">
        <f t="shared" si="2"/>
        <v>35</v>
      </c>
      <c r="AL34" s="659">
        <f t="shared" si="2"/>
        <v>36</v>
      </c>
      <c r="AM34" s="659">
        <f t="shared" si="2"/>
        <v>37</v>
      </c>
      <c r="AN34" s="659">
        <f t="shared" si="2"/>
        <v>38</v>
      </c>
      <c r="AO34" s="659">
        <f t="shared" si="2"/>
        <v>39</v>
      </c>
      <c r="AP34" s="659">
        <f t="shared" si="2"/>
        <v>40</v>
      </c>
      <c r="AQ34" s="659">
        <f t="shared" si="2"/>
        <v>41</v>
      </c>
      <c r="AR34" s="659">
        <f t="shared" si="2"/>
        <v>42</v>
      </c>
      <c r="AS34" s="659">
        <f t="shared" si="2"/>
        <v>43</v>
      </c>
      <c r="AT34" s="659">
        <f t="shared" si="2"/>
        <v>44</v>
      </c>
      <c r="AU34" s="659">
        <f t="shared" si="2"/>
        <v>45</v>
      </c>
      <c r="AV34" s="659">
        <f t="shared" si="2"/>
        <v>46</v>
      </c>
      <c r="AW34" s="659">
        <f t="shared" si="2"/>
        <v>47</v>
      </c>
      <c r="AX34" s="659">
        <f t="shared" si="2"/>
        <v>48</v>
      </c>
      <c r="AY34" s="659">
        <f t="shared" si="2"/>
        <v>49</v>
      </c>
      <c r="AZ34" s="659">
        <f t="shared" si="2"/>
        <v>50</v>
      </c>
      <c r="BA34" s="659">
        <f t="shared" si="2"/>
        <v>51</v>
      </c>
      <c r="BB34" s="659">
        <f t="shared" si="2"/>
        <v>52</v>
      </c>
      <c r="BC34" s="659">
        <f t="shared" si="2"/>
        <v>53</v>
      </c>
      <c r="BD34" s="659">
        <f t="shared" si="2"/>
        <v>54</v>
      </c>
      <c r="BE34" s="659">
        <f t="shared" si="2"/>
        <v>55</v>
      </c>
      <c r="BF34" s="659">
        <f t="shared" si="2"/>
        <v>56</v>
      </c>
      <c r="BG34" s="659">
        <f t="shared" si="2"/>
        <v>57</v>
      </c>
      <c r="BH34" s="659">
        <f t="shared" si="2"/>
        <v>58</v>
      </c>
      <c r="BI34" s="659">
        <f t="shared" si="2"/>
        <v>59</v>
      </c>
      <c r="BJ34" s="659">
        <f t="shared" si="2"/>
        <v>60</v>
      </c>
    </row>
    <row r="35" spans="1:62" s="161" customFormat="1" ht="15.75">
      <c r="A35" s="653" t="s">
        <v>203</v>
      </c>
      <c r="B35" s="653"/>
      <c r="C35" s="653">
        <v>0</v>
      </c>
      <c r="D35" s="653">
        <f aca="true" t="shared" si="3" ref="D35:AI35">C39</f>
        <v>24.825937500000006</v>
      </c>
      <c r="E35" s="653">
        <f t="shared" si="3"/>
        <v>49.91047851562501</v>
      </c>
      <c r="F35" s="653">
        <f t="shared" si="3"/>
        <v>75.2563168334961</v>
      </c>
      <c r="G35" s="653">
        <f t="shared" si="3"/>
        <v>75.2563168334961</v>
      </c>
      <c r="H35" s="653">
        <f t="shared" si="3"/>
        <v>75.2563168334961</v>
      </c>
      <c r="I35" s="653">
        <f t="shared" si="3"/>
        <v>75.2563168334961</v>
      </c>
      <c r="J35" s="653">
        <f t="shared" si="3"/>
        <v>75.2563168334961</v>
      </c>
      <c r="K35" s="653">
        <f t="shared" si="3"/>
        <v>75.2563168334961</v>
      </c>
      <c r="L35" s="653">
        <f t="shared" si="3"/>
        <v>75.2563168334961</v>
      </c>
      <c r="M35" s="653">
        <f t="shared" si="3"/>
        <v>75.2563168334961</v>
      </c>
      <c r="N35" s="653">
        <f t="shared" si="3"/>
        <v>75.2563168334961</v>
      </c>
      <c r="O35" s="653">
        <f t="shared" si="3"/>
        <v>75.2563168334961</v>
      </c>
      <c r="P35" s="653">
        <f t="shared" si="3"/>
        <v>75.2563168334961</v>
      </c>
      <c r="Q35" s="653">
        <f t="shared" si="3"/>
        <v>75.2563168334961</v>
      </c>
      <c r="R35" s="653">
        <f t="shared" si="3"/>
        <v>75.2563168334961</v>
      </c>
      <c r="S35" s="653">
        <f t="shared" si="3"/>
        <v>75.2563168334961</v>
      </c>
      <c r="T35" s="653">
        <f t="shared" si="3"/>
        <v>75.2563168334961</v>
      </c>
      <c r="U35" s="653">
        <f t="shared" si="3"/>
        <v>75.2563168334961</v>
      </c>
      <c r="V35" s="653">
        <f t="shared" si="3"/>
        <v>75.2563168334961</v>
      </c>
      <c r="W35" s="653">
        <f t="shared" si="3"/>
        <v>75.2563168334961</v>
      </c>
      <c r="X35" s="653">
        <f t="shared" si="3"/>
        <v>75.2563168334961</v>
      </c>
      <c r="Y35" s="653">
        <f t="shared" si="3"/>
        <v>75.2563168334961</v>
      </c>
      <c r="Z35" s="653">
        <f t="shared" si="3"/>
        <v>75.2563168334961</v>
      </c>
      <c r="AA35" s="653">
        <f t="shared" si="3"/>
        <v>75.2563168334961</v>
      </c>
      <c r="AB35" s="653">
        <f t="shared" si="3"/>
        <v>75.2563168334961</v>
      </c>
      <c r="AC35" s="653">
        <f t="shared" si="3"/>
        <v>75.2563168334961</v>
      </c>
      <c r="AD35" s="653">
        <f t="shared" si="3"/>
        <v>75.2563168334961</v>
      </c>
      <c r="AE35" s="653">
        <f t="shared" si="3"/>
        <v>75.2563168334961</v>
      </c>
      <c r="AF35" s="653">
        <f t="shared" si="3"/>
        <v>75.2563168334961</v>
      </c>
      <c r="AG35" s="653">
        <f t="shared" si="3"/>
        <v>75.2563168334961</v>
      </c>
      <c r="AH35" s="653">
        <f t="shared" si="3"/>
        <v>75.2563168334961</v>
      </c>
      <c r="AI35" s="653">
        <f t="shared" si="3"/>
        <v>75.2563168334961</v>
      </c>
      <c r="AJ35" s="653">
        <f aca="true" t="shared" si="4" ref="AJ35:BJ35">AI39</f>
        <v>75.2563168334961</v>
      </c>
      <c r="AK35" s="653">
        <f t="shared" si="4"/>
        <v>75.2563168334961</v>
      </c>
      <c r="AL35" s="653">
        <f t="shared" si="4"/>
        <v>75.2563168334961</v>
      </c>
      <c r="AM35" s="653">
        <f t="shared" si="4"/>
        <v>75.2563168334961</v>
      </c>
      <c r="AN35" s="653">
        <f t="shared" si="4"/>
        <v>75.2563168334961</v>
      </c>
      <c r="AO35" s="653">
        <f t="shared" si="4"/>
        <v>75.2563168334961</v>
      </c>
      <c r="AP35" s="653">
        <f t="shared" si="4"/>
        <v>75.2563168334961</v>
      </c>
      <c r="AQ35" s="653">
        <f t="shared" si="4"/>
        <v>75.2563168334961</v>
      </c>
      <c r="AR35" s="653">
        <f t="shared" si="4"/>
        <v>75.2563168334961</v>
      </c>
      <c r="AS35" s="653">
        <f t="shared" si="4"/>
        <v>75.2563168334961</v>
      </c>
      <c r="AT35" s="653">
        <f t="shared" si="4"/>
        <v>75.2563168334961</v>
      </c>
      <c r="AU35" s="653">
        <f t="shared" si="4"/>
        <v>75.2563168334961</v>
      </c>
      <c r="AV35" s="653">
        <f t="shared" si="4"/>
        <v>75.2563168334961</v>
      </c>
      <c r="AW35" s="653">
        <f t="shared" si="4"/>
        <v>75.2563168334961</v>
      </c>
      <c r="AX35" s="653">
        <f t="shared" si="4"/>
        <v>75.2563168334961</v>
      </c>
      <c r="AY35" s="653">
        <f t="shared" si="4"/>
        <v>75.2563168334961</v>
      </c>
      <c r="AZ35" s="653">
        <f t="shared" si="4"/>
        <v>75.2563168334961</v>
      </c>
      <c r="BA35" s="653">
        <f t="shared" si="4"/>
        <v>75.2563168334961</v>
      </c>
      <c r="BB35" s="653">
        <f t="shared" si="4"/>
        <v>75.2563168334961</v>
      </c>
      <c r="BC35" s="653">
        <f t="shared" si="4"/>
        <v>75.2563168334961</v>
      </c>
      <c r="BD35" s="653">
        <f t="shared" si="4"/>
        <v>75.2563168334961</v>
      </c>
      <c r="BE35" s="653">
        <f t="shared" si="4"/>
        <v>75.2563168334961</v>
      </c>
      <c r="BF35" s="653">
        <f t="shared" si="4"/>
        <v>75.2563168334961</v>
      </c>
      <c r="BG35" s="653">
        <f t="shared" si="4"/>
        <v>75.2563168334961</v>
      </c>
      <c r="BH35" s="653">
        <f t="shared" si="4"/>
        <v>75.2563168334961</v>
      </c>
      <c r="BI35" s="653">
        <f t="shared" si="4"/>
        <v>75.2563168334961</v>
      </c>
      <c r="BJ35" s="653">
        <f t="shared" si="4"/>
        <v>75.2563168334961</v>
      </c>
    </row>
    <row r="36" spans="1:62" s="161" customFormat="1" ht="15.75">
      <c r="A36" s="653" t="s">
        <v>43</v>
      </c>
      <c r="B36" s="653"/>
      <c r="C36" s="653">
        <f>C31</f>
        <v>24.570000000000004</v>
      </c>
      <c r="D36" s="653">
        <f aca="true" t="shared" si="5" ref="D36:BJ36">D31</f>
        <v>24.570000000000004</v>
      </c>
      <c r="E36" s="653">
        <f t="shared" si="5"/>
        <v>24.570000000000004</v>
      </c>
      <c r="F36" s="653">
        <f t="shared" si="5"/>
        <v>0</v>
      </c>
      <c r="G36" s="653">
        <f t="shared" si="5"/>
        <v>0</v>
      </c>
      <c r="H36" s="653">
        <f t="shared" si="5"/>
        <v>0</v>
      </c>
      <c r="I36" s="653">
        <f t="shared" si="5"/>
        <v>0</v>
      </c>
      <c r="J36" s="653">
        <f t="shared" si="5"/>
        <v>0</v>
      </c>
      <c r="K36" s="653">
        <f t="shared" si="5"/>
        <v>0</v>
      </c>
      <c r="L36" s="653">
        <f t="shared" si="5"/>
        <v>0</v>
      </c>
      <c r="M36" s="653">
        <f t="shared" si="5"/>
        <v>0</v>
      </c>
      <c r="N36" s="653">
        <f t="shared" si="5"/>
        <v>0</v>
      </c>
      <c r="O36" s="653">
        <f t="shared" si="5"/>
        <v>0</v>
      </c>
      <c r="P36" s="653">
        <f t="shared" si="5"/>
        <v>0</v>
      </c>
      <c r="Q36" s="653">
        <f t="shared" si="5"/>
        <v>0</v>
      </c>
      <c r="R36" s="653">
        <f t="shared" si="5"/>
        <v>0</v>
      </c>
      <c r="S36" s="653">
        <f t="shared" si="5"/>
        <v>0</v>
      </c>
      <c r="T36" s="653">
        <f t="shared" si="5"/>
        <v>0</v>
      </c>
      <c r="U36" s="653">
        <f t="shared" si="5"/>
        <v>0</v>
      </c>
      <c r="V36" s="653">
        <f t="shared" si="5"/>
        <v>0</v>
      </c>
      <c r="W36" s="653">
        <f t="shared" si="5"/>
        <v>0</v>
      </c>
      <c r="X36" s="653">
        <f t="shared" si="5"/>
        <v>0</v>
      </c>
      <c r="Y36" s="653">
        <f t="shared" si="5"/>
        <v>0</v>
      </c>
      <c r="Z36" s="653">
        <f t="shared" si="5"/>
        <v>0</v>
      </c>
      <c r="AA36" s="653">
        <f t="shared" si="5"/>
        <v>0</v>
      </c>
      <c r="AB36" s="653">
        <f t="shared" si="5"/>
        <v>0</v>
      </c>
      <c r="AC36" s="653">
        <f t="shared" si="5"/>
        <v>0</v>
      </c>
      <c r="AD36" s="653">
        <f t="shared" si="5"/>
        <v>0</v>
      </c>
      <c r="AE36" s="653">
        <f t="shared" si="5"/>
        <v>0</v>
      </c>
      <c r="AF36" s="653">
        <f t="shared" si="5"/>
        <v>0</v>
      </c>
      <c r="AG36" s="653">
        <f t="shared" si="5"/>
        <v>0</v>
      </c>
      <c r="AH36" s="653">
        <f t="shared" si="5"/>
        <v>0</v>
      </c>
      <c r="AI36" s="653">
        <f t="shared" si="5"/>
        <v>0</v>
      </c>
      <c r="AJ36" s="653">
        <f t="shared" si="5"/>
        <v>0</v>
      </c>
      <c r="AK36" s="653">
        <f t="shared" si="5"/>
        <v>0</v>
      </c>
      <c r="AL36" s="653">
        <f t="shared" si="5"/>
        <v>0</v>
      </c>
      <c r="AM36" s="653">
        <f t="shared" si="5"/>
        <v>0</v>
      </c>
      <c r="AN36" s="653">
        <f t="shared" si="5"/>
        <v>0</v>
      </c>
      <c r="AO36" s="653">
        <f t="shared" si="5"/>
        <v>0</v>
      </c>
      <c r="AP36" s="653">
        <f t="shared" si="5"/>
        <v>0</v>
      </c>
      <c r="AQ36" s="653">
        <f t="shared" si="5"/>
        <v>0</v>
      </c>
      <c r="AR36" s="653">
        <f t="shared" si="5"/>
        <v>0</v>
      </c>
      <c r="AS36" s="653">
        <f t="shared" si="5"/>
        <v>0</v>
      </c>
      <c r="AT36" s="653">
        <f t="shared" si="5"/>
        <v>0</v>
      </c>
      <c r="AU36" s="653">
        <f t="shared" si="5"/>
        <v>0</v>
      </c>
      <c r="AV36" s="653">
        <f t="shared" si="5"/>
        <v>0</v>
      </c>
      <c r="AW36" s="653">
        <f t="shared" si="5"/>
        <v>0</v>
      </c>
      <c r="AX36" s="653">
        <f t="shared" si="5"/>
        <v>0</v>
      </c>
      <c r="AY36" s="653">
        <f t="shared" si="5"/>
        <v>0</v>
      </c>
      <c r="AZ36" s="653">
        <f t="shared" si="5"/>
        <v>0</v>
      </c>
      <c r="BA36" s="653">
        <f t="shared" si="5"/>
        <v>0</v>
      </c>
      <c r="BB36" s="653">
        <f t="shared" si="5"/>
        <v>0</v>
      </c>
      <c r="BC36" s="653">
        <f t="shared" si="5"/>
        <v>0</v>
      </c>
      <c r="BD36" s="653">
        <f t="shared" si="5"/>
        <v>0</v>
      </c>
      <c r="BE36" s="653">
        <f t="shared" si="5"/>
        <v>0</v>
      </c>
      <c r="BF36" s="653">
        <f t="shared" si="5"/>
        <v>0</v>
      </c>
      <c r="BG36" s="653">
        <f t="shared" si="5"/>
        <v>0</v>
      </c>
      <c r="BH36" s="653">
        <f t="shared" si="5"/>
        <v>0</v>
      </c>
      <c r="BI36" s="653">
        <f t="shared" si="5"/>
        <v>0</v>
      </c>
      <c r="BJ36" s="653">
        <f t="shared" si="5"/>
        <v>0</v>
      </c>
    </row>
    <row r="37" spans="1:62" s="161" customFormat="1" ht="15.75">
      <c r="A37" s="653" t="s">
        <v>281</v>
      </c>
      <c r="B37" s="653"/>
      <c r="C37" s="653">
        <f>C35+C36</f>
        <v>24.570000000000004</v>
      </c>
      <c r="D37" s="653">
        <f>D35+D36</f>
        <v>49.39593750000001</v>
      </c>
      <c r="E37" s="653">
        <f aca="true" t="shared" si="6" ref="E37:BJ37">E35+E36</f>
        <v>74.48047851562501</v>
      </c>
      <c r="F37" s="653">
        <f t="shared" si="6"/>
        <v>75.2563168334961</v>
      </c>
      <c r="G37" s="653">
        <f t="shared" si="6"/>
        <v>75.2563168334961</v>
      </c>
      <c r="H37" s="653">
        <f t="shared" si="6"/>
        <v>75.2563168334961</v>
      </c>
      <c r="I37" s="653">
        <f t="shared" si="6"/>
        <v>75.2563168334961</v>
      </c>
      <c r="J37" s="653">
        <f t="shared" si="6"/>
        <v>75.2563168334961</v>
      </c>
      <c r="K37" s="653">
        <f t="shared" si="6"/>
        <v>75.2563168334961</v>
      </c>
      <c r="L37" s="653">
        <f t="shared" si="6"/>
        <v>75.2563168334961</v>
      </c>
      <c r="M37" s="653">
        <f t="shared" si="6"/>
        <v>75.2563168334961</v>
      </c>
      <c r="N37" s="653">
        <f t="shared" si="6"/>
        <v>75.2563168334961</v>
      </c>
      <c r="O37" s="653">
        <f t="shared" si="6"/>
        <v>75.2563168334961</v>
      </c>
      <c r="P37" s="653">
        <f t="shared" si="6"/>
        <v>75.2563168334961</v>
      </c>
      <c r="Q37" s="653">
        <f t="shared" si="6"/>
        <v>75.2563168334961</v>
      </c>
      <c r="R37" s="653">
        <f t="shared" si="6"/>
        <v>75.2563168334961</v>
      </c>
      <c r="S37" s="653">
        <f t="shared" si="6"/>
        <v>75.2563168334961</v>
      </c>
      <c r="T37" s="653">
        <f t="shared" si="6"/>
        <v>75.2563168334961</v>
      </c>
      <c r="U37" s="653">
        <f t="shared" si="6"/>
        <v>75.2563168334961</v>
      </c>
      <c r="V37" s="653">
        <f t="shared" si="6"/>
        <v>75.2563168334961</v>
      </c>
      <c r="W37" s="653">
        <f t="shared" si="6"/>
        <v>75.2563168334961</v>
      </c>
      <c r="X37" s="653">
        <f t="shared" si="6"/>
        <v>75.2563168334961</v>
      </c>
      <c r="Y37" s="653">
        <f t="shared" si="6"/>
        <v>75.2563168334961</v>
      </c>
      <c r="Z37" s="653">
        <f t="shared" si="6"/>
        <v>75.2563168334961</v>
      </c>
      <c r="AA37" s="653">
        <f t="shared" si="6"/>
        <v>75.2563168334961</v>
      </c>
      <c r="AB37" s="653">
        <f t="shared" si="6"/>
        <v>75.2563168334961</v>
      </c>
      <c r="AC37" s="653">
        <f t="shared" si="6"/>
        <v>75.2563168334961</v>
      </c>
      <c r="AD37" s="653">
        <f t="shared" si="6"/>
        <v>75.2563168334961</v>
      </c>
      <c r="AE37" s="653">
        <f t="shared" si="6"/>
        <v>75.2563168334961</v>
      </c>
      <c r="AF37" s="653">
        <f t="shared" si="6"/>
        <v>75.2563168334961</v>
      </c>
      <c r="AG37" s="653">
        <f t="shared" si="6"/>
        <v>75.2563168334961</v>
      </c>
      <c r="AH37" s="653">
        <f t="shared" si="6"/>
        <v>75.2563168334961</v>
      </c>
      <c r="AI37" s="653">
        <f t="shared" si="6"/>
        <v>75.2563168334961</v>
      </c>
      <c r="AJ37" s="653">
        <f t="shared" si="6"/>
        <v>75.2563168334961</v>
      </c>
      <c r="AK37" s="653">
        <f t="shared" si="6"/>
        <v>75.2563168334961</v>
      </c>
      <c r="AL37" s="653">
        <f t="shared" si="6"/>
        <v>75.2563168334961</v>
      </c>
      <c r="AM37" s="653">
        <f t="shared" si="6"/>
        <v>75.2563168334961</v>
      </c>
      <c r="AN37" s="653">
        <f t="shared" si="6"/>
        <v>75.2563168334961</v>
      </c>
      <c r="AO37" s="653">
        <f t="shared" si="6"/>
        <v>75.2563168334961</v>
      </c>
      <c r="AP37" s="653">
        <f t="shared" si="6"/>
        <v>75.2563168334961</v>
      </c>
      <c r="AQ37" s="653">
        <f t="shared" si="6"/>
        <v>75.2563168334961</v>
      </c>
      <c r="AR37" s="653">
        <f t="shared" si="6"/>
        <v>75.2563168334961</v>
      </c>
      <c r="AS37" s="653">
        <f t="shared" si="6"/>
        <v>75.2563168334961</v>
      </c>
      <c r="AT37" s="653">
        <f t="shared" si="6"/>
        <v>75.2563168334961</v>
      </c>
      <c r="AU37" s="653">
        <f t="shared" si="6"/>
        <v>75.2563168334961</v>
      </c>
      <c r="AV37" s="653">
        <f t="shared" si="6"/>
        <v>75.2563168334961</v>
      </c>
      <c r="AW37" s="653">
        <f t="shared" si="6"/>
        <v>75.2563168334961</v>
      </c>
      <c r="AX37" s="653">
        <f t="shared" si="6"/>
        <v>75.2563168334961</v>
      </c>
      <c r="AY37" s="653">
        <f t="shared" si="6"/>
        <v>75.2563168334961</v>
      </c>
      <c r="AZ37" s="653">
        <f t="shared" si="6"/>
        <v>75.2563168334961</v>
      </c>
      <c r="BA37" s="653">
        <f t="shared" si="6"/>
        <v>75.2563168334961</v>
      </c>
      <c r="BB37" s="653">
        <f t="shared" si="6"/>
        <v>75.2563168334961</v>
      </c>
      <c r="BC37" s="653">
        <f t="shared" si="6"/>
        <v>75.2563168334961</v>
      </c>
      <c r="BD37" s="653">
        <f t="shared" si="6"/>
        <v>75.2563168334961</v>
      </c>
      <c r="BE37" s="653">
        <f t="shared" si="6"/>
        <v>75.2563168334961</v>
      </c>
      <c r="BF37" s="653">
        <f t="shared" si="6"/>
        <v>75.2563168334961</v>
      </c>
      <c r="BG37" s="653">
        <f t="shared" si="6"/>
        <v>75.2563168334961</v>
      </c>
      <c r="BH37" s="653">
        <f t="shared" si="6"/>
        <v>75.2563168334961</v>
      </c>
      <c r="BI37" s="653">
        <f t="shared" si="6"/>
        <v>75.2563168334961</v>
      </c>
      <c r="BJ37" s="653">
        <f t="shared" si="6"/>
        <v>75.2563168334961</v>
      </c>
    </row>
    <row r="38" spans="1:62" s="161" customFormat="1" ht="15.75">
      <c r="A38" s="653" t="s">
        <v>282</v>
      </c>
      <c r="B38" s="653"/>
      <c r="C38" s="653">
        <f>IF(C34&lt;=Parameters!$C$23,C37*(Parameters!$C$22/12),0)</f>
        <v>0.25593750000000004</v>
      </c>
      <c r="D38" s="653">
        <f>IF(D34&lt;=Parameters!$C$23,D37*(Parameters!$C$22/12),0)</f>
        <v>0.5145410156250001</v>
      </c>
      <c r="E38" s="653">
        <f>IF(E34&lt;=Parameters!$C$23,E37*(Parameters!$C$22/12),0)</f>
        <v>0.7758383178710938</v>
      </c>
      <c r="F38" s="653">
        <f>IF(F34&lt;=Parameters!$C$23,F37*(Parameters!$C$22/12),0)</f>
        <v>0</v>
      </c>
      <c r="G38" s="653">
        <f>IF(G34&lt;=Parameters!$C$23,G37*(Parameters!$C$22/12),0)</f>
        <v>0</v>
      </c>
      <c r="H38" s="653">
        <f>IF(H34&lt;=Parameters!$C$23,H37*(Parameters!$C$22/12),0)</f>
        <v>0</v>
      </c>
      <c r="I38" s="653">
        <f>IF(I34&lt;=Parameters!$C$23,I37*(Parameters!$C$22/12),0)</f>
        <v>0</v>
      </c>
      <c r="J38" s="653">
        <f>IF(J34&lt;=Parameters!$C$23,J37*(Parameters!$C$22/12),0)</f>
        <v>0</v>
      </c>
      <c r="K38" s="653">
        <f>IF(K34&lt;=Parameters!$C$23,K37*(Parameters!$C$22/12),0)</f>
        <v>0</v>
      </c>
      <c r="L38" s="653">
        <f>IF(L34&lt;=Parameters!$C$23,L37*(Parameters!$C$22/12),0)</f>
        <v>0</v>
      </c>
      <c r="M38" s="653">
        <f>IF(M34&lt;=Parameters!$C$23,M37*(Parameters!$C$22/12),0)</f>
        <v>0</v>
      </c>
      <c r="N38" s="653">
        <f>IF(N34&lt;=Parameters!$C$23,N37*(Parameters!$C$22/12),0)</f>
        <v>0</v>
      </c>
      <c r="O38" s="653">
        <f>IF(O34&lt;=Parameters!$C$23,O37*(Parameters!$C$22/12),0)</f>
        <v>0</v>
      </c>
      <c r="P38" s="653">
        <f>IF(P34&lt;=Parameters!$C$23,P37*(Parameters!$C$22/12),0)</f>
        <v>0</v>
      </c>
      <c r="Q38" s="653">
        <f>IF(Q34&lt;=Parameters!$C$23,Q37*(Parameters!$C$22/12),0)</f>
        <v>0</v>
      </c>
      <c r="R38" s="653">
        <f>IF(R34&lt;=Parameters!$C$23,R37*(Parameters!$C$22/12),0)</f>
        <v>0</v>
      </c>
      <c r="S38" s="653">
        <f>IF(S34&lt;=Parameters!$C$23,S37*(Parameters!$C$22/12),0)</f>
        <v>0</v>
      </c>
      <c r="T38" s="653">
        <f>IF(T34&lt;=Parameters!$C$23,T37*(Parameters!$C$22/12),0)</f>
        <v>0</v>
      </c>
      <c r="U38" s="653">
        <f>IF(U34&lt;=Parameters!$C$23,U37*(Parameters!$C$22/12),0)</f>
        <v>0</v>
      </c>
      <c r="V38" s="653">
        <f>IF(V34&lt;=Parameters!$C$23,V37*(Parameters!$C$22/12),0)</f>
        <v>0</v>
      </c>
      <c r="W38" s="653">
        <f>IF(W34&lt;=Parameters!$C$23,W37*(Parameters!$C$22/12),0)</f>
        <v>0</v>
      </c>
      <c r="X38" s="653">
        <f>IF(X34&lt;=Parameters!$C$23,X37*(Parameters!$C$22/12),0)</f>
        <v>0</v>
      </c>
      <c r="Y38" s="653">
        <f>IF(Y34&lt;=Parameters!$C$23,Y37*(Parameters!$C$22/12),0)</f>
        <v>0</v>
      </c>
      <c r="Z38" s="653">
        <f>IF(Z34&lt;=Parameters!$C$23,Z37*(Parameters!$C$22/12),0)</f>
        <v>0</v>
      </c>
      <c r="AA38" s="653">
        <f>IF(AA34&lt;=Parameters!$C$23,AA37*(Parameters!$C$22/12),0)</f>
        <v>0</v>
      </c>
      <c r="AB38" s="653">
        <f>IF(AB34&lt;=Parameters!$C$23,AB37*(Parameters!$C$22/12),0)</f>
        <v>0</v>
      </c>
      <c r="AC38" s="653">
        <f>IF(AC34&lt;=Parameters!$C$23,AC37*(Parameters!$C$22/12),0)</f>
        <v>0</v>
      </c>
      <c r="AD38" s="653">
        <f>IF(AD34&lt;=Parameters!$C$23,AD37*(Parameters!$C$22/12),0)</f>
        <v>0</v>
      </c>
      <c r="AE38" s="653">
        <f>IF(AE34&lt;=Parameters!$C$23,AE37*(Parameters!$C$22/12),0)</f>
        <v>0</v>
      </c>
      <c r="AF38" s="653">
        <f>IF(AF34&lt;=Parameters!$C$23,AF37*(Parameters!$C$22/12),0)</f>
        <v>0</v>
      </c>
      <c r="AG38" s="653">
        <f>IF(AG34&lt;=Parameters!$C$23,AG37*(Parameters!$C$22/12),0)</f>
        <v>0</v>
      </c>
      <c r="AH38" s="653">
        <f>IF(AH34&lt;=Parameters!$C$23,AH37*(Parameters!$C$22/12),0)</f>
        <v>0</v>
      </c>
      <c r="AI38" s="653">
        <f>IF(AI34&lt;=Parameters!$C$23,AI37*(Parameters!$C$22/12),0)</f>
        <v>0</v>
      </c>
      <c r="AJ38" s="653">
        <f>IF(AJ34&lt;=Parameters!$C$23,AJ37*(Parameters!$C$22/12),0)</f>
        <v>0</v>
      </c>
      <c r="AK38" s="653">
        <f>IF(AK34&lt;=Parameters!$C$23,AK37*(Parameters!$C$22/12),0)</f>
        <v>0</v>
      </c>
      <c r="AL38" s="653">
        <f>IF(AL34&lt;=Parameters!$C$23,AL37*(Parameters!$C$22/12),0)</f>
        <v>0</v>
      </c>
      <c r="AM38" s="653">
        <f>IF(AM34&lt;=Parameters!$C$23,AM37*(Parameters!$C$22/12),0)</f>
        <v>0</v>
      </c>
      <c r="AN38" s="653">
        <f>IF(AN34&lt;=Parameters!$C$23,AN37*(Parameters!$C$22/12),0)</f>
        <v>0</v>
      </c>
      <c r="AO38" s="653">
        <f>IF(AO34&lt;=Parameters!$C$23,AO37*(Parameters!$C$22/12),0)</f>
        <v>0</v>
      </c>
      <c r="AP38" s="653">
        <f>IF(AP34&lt;=Parameters!$C$23,AP37*(Parameters!$C$22/12),0)</f>
        <v>0</v>
      </c>
      <c r="AQ38" s="653">
        <f>IF(AQ34&lt;=Parameters!$C$23,AQ37*(Parameters!$C$22/12),0)</f>
        <v>0</v>
      </c>
      <c r="AR38" s="653">
        <f>IF(AR34&lt;=Parameters!$C$23,AR37*(Parameters!$C$22/12),0)</f>
        <v>0</v>
      </c>
      <c r="AS38" s="653">
        <f>IF(AS34&lt;=Parameters!$C$23,AS37*(Parameters!$C$22/12),0)</f>
        <v>0</v>
      </c>
      <c r="AT38" s="653">
        <f>IF(AT34&lt;=Parameters!$C$23,AT37*(Parameters!$C$22/12),0)</f>
        <v>0</v>
      </c>
      <c r="AU38" s="653">
        <f>IF(AU34&lt;=Parameters!$C$23,AU37*(Parameters!$C$22/12),0)</f>
        <v>0</v>
      </c>
      <c r="AV38" s="653">
        <f>IF(AV34&lt;=Parameters!$C$23,AV37*(Parameters!$C$22/12),0)</f>
        <v>0</v>
      </c>
      <c r="AW38" s="653">
        <f>IF(AW34&lt;=Parameters!$C$23,AW37*(Parameters!$C$22/12),0)</f>
        <v>0</v>
      </c>
      <c r="AX38" s="653">
        <f>IF(AX34&lt;=Parameters!$C$23,AX37*(Parameters!$C$22/12),0)</f>
        <v>0</v>
      </c>
      <c r="AY38" s="653">
        <f>IF(AY34&lt;=Parameters!$C$23,AY37*(Parameters!$C$22/12),0)</f>
        <v>0</v>
      </c>
      <c r="AZ38" s="653">
        <f>IF(AZ34&lt;=Parameters!$C$23,AZ37*(Parameters!$C$22/12),0)</f>
        <v>0</v>
      </c>
      <c r="BA38" s="653">
        <f>IF(BA34&lt;=Parameters!$C$23,BA37*(Parameters!$C$22/12),0)</f>
        <v>0</v>
      </c>
      <c r="BB38" s="653">
        <f>IF(BB34&lt;=Parameters!$C$23,BB37*(Parameters!$C$22/12),0)</f>
        <v>0</v>
      </c>
      <c r="BC38" s="653">
        <f>IF(BC34&lt;=Parameters!$C$23,BC37*(Parameters!$C$22/12),0)</f>
        <v>0</v>
      </c>
      <c r="BD38" s="653">
        <f>IF(BD34&lt;=Parameters!$C$23,BD37*(Parameters!$C$22/12),0)</f>
        <v>0</v>
      </c>
      <c r="BE38" s="653">
        <f>IF(BE34&lt;=Parameters!$C$23,BE37*(Parameters!$C$22/12),0)</f>
        <v>0</v>
      </c>
      <c r="BF38" s="653">
        <f>IF(BF34&lt;=Parameters!$C$23,BF37*(Parameters!$C$22/12),0)</f>
        <v>0</v>
      </c>
      <c r="BG38" s="653">
        <f>IF(BG34&lt;=Parameters!$C$23,BG37*(Parameters!$C$22/12),0)</f>
        <v>0</v>
      </c>
      <c r="BH38" s="653">
        <f>IF(BH34&lt;=Parameters!$C$23,BH37*(Parameters!$C$22/12),0)</f>
        <v>0</v>
      </c>
      <c r="BI38" s="653">
        <f>IF(BI34&lt;=Parameters!$C$23,BI37*(Parameters!$C$22/12),0)</f>
        <v>0</v>
      </c>
      <c r="BJ38" s="653">
        <f>IF(BJ34&lt;=Parameters!$C$23,BJ37*(Parameters!$C$22/12),0)</f>
        <v>0</v>
      </c>
    </row>
    <row r="39" spans="1:62" s="161" customFormat="1" ht="15.75">
      <c r="A39" s="653" t="s">
        <v>283</v>
      </c>
      <c r="B39" s="653"/>
      <c r="C39" s="653">
        <f>C37+C38</f>
        <v>24.825937500000006</v>
      </c>
      <c r="D39" s="653">
        <f aca="true" t="shared" si="7" ref="D39:BJ39">D37+D38</f>
        <v>49.91047851562501</v>
      </c>
      <c r="E39" s="653">
        <f t="shared" si="7"/>
        <v>75.2563168334961</v>
      </c>
      <c r="F39" s="653">
        <f t="shared" si="7"/>
        <v>75.2563168334961</v>
      </c>
      <c r="G39" s="653">
        <f t="shared" si="7"/>
        <v>75.2563168334961</v>
      </c>
      <c r="H39" s="653">
        <f t="shared" si="7"/>
        <v>75.2563168334961</v>
      </c>
      <c r="I39" s="653">
        <f t="shared" si="7"/>
        <v>75.2563168334961</v>
      </c>
      <c r="J39" s="653">
        <f t="shared" si="7"/>
        <v>75.2563168334961</v>
      </c>
      <c r="K39" s="653">
        <f t="shared" si="7"/>
        <v>75.2563168334961</v>
      </c>
      <c r="L39" s="653">
        <f t="shared" si="7"/>
        <v>75.2563168334961</v>
      </c>
      <c r="M39" s="653">
        <f t="shared" si="7"/>
        <v>75.2563168334961</v>
      </c>
      <c r="N39" s="653">
        <f t="shared" si="7"/>
        <v>75.2563168334961</v>
      </c>
      <c r="O39" s="653">
        <f t="shared" si="7"/>
        <v>75.2563168334961</v>
      </c>
      <c r="P39" s="653">
        <f t="shared" si="7"/>
        <v>75.2563168334961</v>
      </c>
      <c r="Q39" s="653">
        <f t="shared" si="7"/>
        <v>75.2563168334961</v>
      </c>
      <c r="R39" s="653">
        <f t="shared" si="7"/>
        <v>75.2563168334961</v>
      </c>
      <c r="S39" s="653">
        <f t="shared" si="7"/>
        <v>75.2563168334961</v>
      </c>
      <c r="T39" s="653">
        <f t="shared" si="7"/>
        <v>75.2563168334961</v>
      </c>
      <c r="U39" s="653">
        <f t="shared" si="7"/>
        <v>75.2563168334961</v>
      </c>
      <c r="V39" s="653">
        <f t="shared" si="7"/>
        <v>75.2563168334961</v>
      </c>
      <c r="W39" s="653">
        <f t="shared" si="7"/>
        <v>75.2563168334961</v>
      </c>
      <c r="X39" s="653">
        <f t="shared" si="7"/>
        <v>75.2563168334961</v>
      </c>
      <c r="Y39" s="653">
        <f t="shared" si="7"/>
        <v>75.2563168334961</v>
      </c>
      <c r="Z39" s="653">
        <f t="shared" si="7"/>
        <v>75.2563168334961</v>
      </c>
      <c r="AA39" s="653">
        <f t="shared" si="7"/>
        <v>75.2563168334961</v>
      </c>
      <c r="AB39" s="653">
        <f t="shared" si="7"/>
        <v>75.2563168334961</v>
      </c>
      <c r="AC39" s="653">
        <f t="shared" si="7"/>
        <v>75.2563168334961</v>
      </c>
      <c r="AD39" s="653">
        <f t="shared" si="7"/>
        <v>75.2563168334961</v>
      </c>
      <c r="AE39" s="653">
        <f t="shared" si="7"/>
        <v>75.2563168334961</v>
      </c>
      <c r="AF39" s="653">
        <f t="shared" si="7"/>
        <v>75.2563168334961</v>
      </c>
      <c r="AG39" s="653">
        <f t="shared" si="7"/>
        <v>75.2563168334961</v>
      </c>
      <c r="AH39" s="653">
        <f t="shared" si="7"/>
        <v>75.2563168334961</v>
      </c>
      <c r="AI39" s="653">
        <f t="shared" si="7"/>
        <v>75.2563168334961</v>
      </c>
      <c r="AJ39" s="653">
        <f t="shared" si="7"/>
        <v>75.2563168334961</v>
      </c>
      <c r="AK39" s="653">
        <f t="shared" si="7"/>
        <v>75.2563168334961</v>
      </c>
      <c r="AL39" s="653">
        <f t="shared" si="7"/>
        <v>75.2563168334961</v>
      </c>
      <c r="AM39" s="653">
        <f t="shared" si="7"/>
        <v>75.2563168334961</v>
      </c>
      <c r="AN39" s="653">
        <f t="shared" si="7"/>
        <v>75.2563168334961</v>
      </c>
      <c r="AO39" s="653">
        <f t="shared" si="7"/>
        <v>75.2563168334961</v>
      </c>
      <c r="AP39" s="653">
        <f t="shared" si="7"/>
        <v>75.2563168334961</v>
      </c>
      <c r="AQ39" s="653">
        <f t="shared" si="7"/>
        <v>75.2563168334961</v>
      </c>
      <c r="AR39" s="653">
        <f t="shared" si="7"/>
        <v>75.2563168334961</v>
      </c>
      <c r="AS39" s="653">
        <f t="shared" si="7"/>
        <v>75.2563168334961</v>
      </c>
      <c r="AT39" s="653">
        <f t="shared" si="7"/>
        <v>75.2563168334961</v>
      </c>
      <c r="AU39" s="653">
        <f t="shared" si="7"/>
        <v>75.2563168334961</v>
      </c>
      <c r="AV39" s="653">
        <f t="shared" si="7"/>
        <v>75.2563168334961</v>
      </c>
      <c r="AW39" s="653">
        <f t="shared" si="7"/>
        <v>75.2563168334961</v>
      </c>
      <c r="AX39" s="653">
        <f t="shared" si="7"/>
        <v>75.2563168334961</v>
      </c>
      <c r="AY39" s="653">
        <f t="shared" si="7"/>
        <v>75.2563168334961</v>
      </c>
      <c r="AZ39" s="653">
        <f t="shared" si="7"/>
        <v>75.2563168334961</v>
      </c>
      <c r="BA39" s="653">
        <f t="shared" si="7"/>
        <v>75.2563168334961</v>
      </c>
      <c r="BB39" s="653">
        <f t="shared" si="7"/>
        <v>75.2563168334961</v>
      </c>
      <c r="BC39" s="653">
        <f t="shared" si="7"/>
        <v>75.2563168334961</v>
      </c>
      <c r="BD39" s="653">
        <f t="shared" si="7"/>
        <v>75.2563168334961</v>
      </c>
      <c r="BE39" s="653">
        <f t="shared" si="7"/>
        <v>75.2563168334961</v>
      </c>
      <c r="BF39" s="653">
        <f t="shared" si="7"/>
        <v>75.2563168334961</v>
      </c>
      <c r="BG39" s="653">
        <f t="shared" si="7"/>
        <v>75.2563168334961</v>
      </c>
      <c r="BH39" s="653">
        <f t="shared" si="7"/>
        <v>75.2563168334961</v>
      </c>
      <c r="BI39" s="653">
        <f t="shared" si="7"/>
        <v>75.2563168334961</v>
      </c>
      <c r="BJ39" s="653">
        <f t="shared" si="7"/>
        <v>75.2563168334961</v>
      </c>
    </row>
    <row r="40" spans="1:62" s="161" customFormat="1" ht="15.75">
      <c r="A40" s="656"/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6"/>
      <c r="AT40" s="656"/>
      <c r="AU40" s="656"/>
      <c r="AV40" s="656"/>
      <c r="AW40" s="656"/>
      <c r="AX40" s="656"/>
      <c r="AY40" s="656"/>
      <c r="AZ40" s="656"/>
      <c r="BA40" s="656"/>
      <c r="BB40" s="656"/>
      <c r="BC40" s="656"/>
      <c r="BD40" s="656"/>
      <c r="BE40" s="656"/>
      <c r="BF40" s="656"/>
      <c r="BG40" s="656"/>
      <c r="BH40" s="656"/>
      <c r="BI40" s="656"/>
      <c r="BJ40" s="656"/>
    </row>
    <row r="41" spans="1:62" s="161" customFormat="1" ht="15.75">
      <c r="A41" s="660" t="s">
        <v>284</v>
      </c>
      <c r="B41" s="660">
        <f>SUM(C38:BJ38)</f>
        <v>1.546316833496094</v>
      </c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656"/>
      <c r="AU41" s="656"/>
      <c r="AV41" s="656"/>
      <c r="AW41" s="656"/>
      <c r="AX41" s="656"/>
      <c r="AY41" s="656"/>
      <c r="AZ41" s="656"/>
      <c r="BA41" s="656"/>
      <c r="BB41" s="656"/>
      <c r="BC41" s="656"/>
      <c r="BD41" s="656"/>
      <c r="BE41" s="656"/>
      <c r="BF41" s="656"/>
      <c r="BG41" s="656"/>
      <c r="BH41" s="656"/>
      <c r="BI41" s="656"/>
      <c r="BJ41" s="656"/>
    </row>
    <row r="42" spans="1:62" s="161" customFormat="1" ht="15.75">
      <c r="A42" s="653" t="s">
        <v>285</v>
      </c>
      <c r="B42" s="653"/>
      <c r="C42" s="661">
        <f>C34</f>
        <v>1</v>
      </c>
      <c r="D42" s="661">
        <f aca="true" t="shared" si="8" ref="D42:BJ42">D34</f>
        <v>2</v>
      </c>
      <c r="E42" s="661">
        <f t="shared" si="8"/>
        <v>3</v>
      </c>
      <c r="F42" s="661">
        <f t="shared" si="8"/>
        <v>4</v>
      </c>
      <c r="G42" s="661">
        <f>G34</f>
        <v>5</v>
      </c>
      <c r="H42" s="661">
        <f t="shared" si="8"/>
        <v>6</v>
      </c>
      <c r="I42" s="661">
        <f t="shared" si="8"/>
        <v>7</v>
      </c>
      <c r="J42" s="661">
        <f t="shared" si="8"/>
        <v>8</v>
      </c>
      <c r="K42" s="661">
        <f t="shared" si="8"/>
        <v>9</v>
      </c>
      <c r="L42" s="661">
        <f t="shared" si="8"/>
        <v>10</v>
      </c>
      <c r="M42" s="661">
        <f t="shared" si="8"/>
        <v>11</v>
      </c>
      <c r="N42" s="661">
        <f t="shared" si="8"/>
        <v>12</v>
      </c>
      <c r="O42" s="661">
        <f t="shared" si="8"/>
        <v>13</v>
      </c>
      <c r="P42" s="661">
        <f t="shared" si="8"/>
        <v>14</v>
      </c>
      <c r="Q42" s="661">
        <f t="shared" si="8"/>
        <v>15</v>
      </c>
      <c r="R42" s="661">
        <f t="shared" si="8"/>
        <v>16</v>
      </c>
      <c r="S42" s="661">
        <f t="shared" si="8"/>
        <v>17</v>
      </c>
      <c r="T42" s="661">
        <f t="shared" si="8"/>
        <v>18</v>
      </c>
      <c r="U42" s="661">
        <f t="shared" si="8"/>
        <v>19</v>
      </c>
      <c r="V42" s="661">
        <f t="shared" si="8"/>
        <v>20</v>
      </c>
      <c r="W42" s="661">
        <f t="shared" si="8"/>
        <v>21</v>
      </c>
      <c r="X42" s="661">
        <f t="shared" si="8"/>
        <v>22</v>
      </c>
      <c r="Y42" s="661">
        <f t="shared" si="8"/>
        <v>23</v>
      </c>
      <c r="Z42" s="661">
        <f t="shared" si="8"/>
        <v>24</v>
      </c>
      <c r="AA42" s="661">
        <f t="shared" si="8"/>
        <v>25</v>
      </c>
      <c r="AB42" s="661">
        <f t="shared" si="8"/>
        <v>26</v>
      </c>
      <c r="AC42" s="661">
        <f t="shared" si="8"/>
        <v>27</v>
      </c>
      <c r="AD42" s="661">
        <f t="shared" si="8"/>
        <v>28</v>
      </c>
      <c r="AE42" s="661">
        <f t="shared" si="8"/>
        <v>29</v>
      </c>
      <c r="AF42" s="661">
        <f t="shared" si="8"/>
        <v>30</v>
      </c>
      <c r="AG42" s="661">
        <f t="shared" si="8"/>
        <v>31</v>
      </c>
      <c r="AH42" s="661">
        <f t="shared" si="8"/>
        <v>32</v>
      </c>
      <c r="AI42" s="661">
        <f t="shared" si="8"/>
        <v>33</v>
      </c>
      <c r="AJ42" s="661">
        <f t="shared" si="8"/>
        <v>34</v>
      </c>
      <c r="AK42" s="661">
        <f t="shared" si="8"/>
        <v>35</v>
      </c>
      <c r="AL42" s="661">
        <f t="shared" si="8"/>
        <v>36</v>
      </c>
      <c r="AM42" s="661">
        <f t="shared" si="8"/>
        <v>37</v>
      </c>
      <c r="AN42" s="661">
        <f t="shared" si="8"/>
        <v>38</v>
      </c>
      <c r="AO42" s="661">
        <f t="shared" si="8"/>
        <v>39</v>
      </c>
      <c r="AP42" s="661">
        <f t="shared" si="8"/>
        <v>40</v>
      </c>
      <c r="AQ42" s="661">
        <f t="shared" si="8"/>
        <v>41</v>
      </c>
      <c r="AR42" s="661">
        <f t="shared" si="8"/>
        <v>42</v>
      </c>
      <c r="AS42" s="661">
        <f t="shared" si="8"/>
        <v>43</v>
      </c>
      <c r="AT42" s="661">
        <f t="shared" si="8"/>
        <v>44</v>
      </c>
      <c r="AU42" s="661">
        <f t="shared" si="8"/>
        <v>45</v>
      </c>
      <c r="AV42" s="661">
        <f t="shared" si="8"/>
        <v>46</v>
      </c>
      <c r="AW42" s="661">
        <f t="shared" si="8"/>
        <v>47</v>
      </c>
      <c r="AX42" s="661">
        <f t="shared" si="8"/>
        <v>48</v>
      </c>
      <c r="AY42" s="661">
        <f t="shared" si="8"/>
        <v>49</v>
      </c>
      <c r="AZ42" s="661">
        <f t="shared" si="8"/>
        <v>50</v>
      </c>
      <c r="BA42" s="661">
        <f t="shared" si="8"/>
        <v>51</v>
      </c>
      <c r="BB42" s="661">
        <f t="shared" si="8"/>
        <v>52</v>
      </c>
      <c r="BC42" s="661">
        <f t="shared" si="8"/>
        <v>53</v>
      </c>
      <c r="BD42" s="661">
        <f t="shared" si="8"/>
        <v>54</v>
      </c>
      <c r="BE42" s="661">
        <f t="shared" si="8"/>
        <v>55</v>
      </c>
      <c r="BF42" s="661">
        <f t="shared" si="8"/>
        <v>56</v>
      </c>
      <c r="BG42" s="661">
        <f t="shared" si="8"/>
        <v>57</v>
      </c>
      <c r="BH42" s="661">
        <f t="shared" si="8"/>
        <v>58</v>
      </c>
      <c r="BI42" s="661">
        <f t="shared" si="8"/>
        <v>59</v>
      </c>
      <c r="BJ42" s="661">
        <f t="shared" si="8"/>
        <v>60</v>
      </c>
    </row>
    <row r="43" spans="1:62" s="161" customFormat="1" ht="15.75">
      <c r="A43" s="653" t="s">
        <v>288</v>
      </c>
      <c r="B43" s="653"/>
      <c r="C43" s="654">
        <f aca="true" t="shared" si="9" ref="C43:AH43">_xlfn.IFERROR(C38*(C29/C31),0)</f>
        <v>0</v>
      </c>
      <c r="D43" s="654">
        <f t="shared" si="9"/>
        <v>0</v>
      </c>
      <c r="E43" s="654">
        <f t="shared" si="9"/>
        <v>0</v>
      </c>
      <c r="F43" s="654">
        <f t="shared" si="9"/>
        <v>0</v>
      </c>
      <c r="G43" s="654">
        <f t="shared" si="9"/>
        <v>0</v>
      </c>
      <c r="H43" s="654">
        <f t="shared" si="9"/>
        <v>0</v>
      </c>
      <c r="I43" s="654">
        <f t="shared" si="9"/>
        <v>0</v>
      </c>
      <c r="J43" s="654">
        <f t="shared" si="9"/>
        <v>0</v>
      </c>
      <c r="K43" s="654">
        <f t="shared" si="9"/>
        <v>0</v>
      </c>
      <c r="L43" s="654">
        <f t="shared" si="9"/>
        <v>0</v>
      </c>
      <c r="M43" s="654">
        <f t="shared" si="9"/>
        <v>0</v>
      </c>
      <c r="N43" s="654">
        <f t="shared" si="9"/>
        <v>0</v>
      </c>
      <c r="O43" s="654">
        <f t="shared" si="9"/>
        <v>0</v>
      </c>
      <c r="P43" s="654">
        <f t="shared" si="9"/>
        <v>0</v>
      </c>
      <c r="Q43" s="654">
        <f t="shared" si="9"/>
        <v>0</v>
      </c>
      <c r="R43" s="654">
        <f t="shared" si="9"/>
        <v>0</v>
      </c>
      <c r="S43" s="654">
        <f t="shared" si="9"/>
        <v>0</v>
      </c>
      <c r="T43" s="654">
        <f t="shared" si="9"/>
        <v>0</v>
      </c>
      <c r="U43" s="654">
        <f t="shared" si="9"/>
        <v>0</v>
      </c>
      <c r="V43" s="654">
        <f t="shared" si="9"/>
        <v>0</v>
      </c>
      <c r="W43" s="654">
        <f t="shared" si="9"/>
        <v>0</v>
      </c>
      <c r="X43" s="654">
        <f t="shared" si="9"/>
        <v>0</v>
      </c>
      <c r="Y43" s="654">
        <f t="shared" si="9"/>
        <v>0</v>
      </c>
      <c r="Z43" s="654">
        <f t="shared" si="9"/>
        <v>0</v>
      </c>
      <c r="AA43" s="654">
        <f t="shared" si="9"/>
        <v>0</v>
      </c>
      <c r="AB43" s="654">
        <f t="shared" si="9"/>
        <v>0</v>
      </c>
      <c r="AC43" s="654">
        <f t="shared" si="9"/>
        <v>0</v>
      </c>
      <c r="AD43" s="654">
        <f t="shared" si="9"/>
        <v>0</v>
      </c>
      <c r="AE43" s="654">
        <f t="shared" si="9"/>
        <v>0</v>
      </c>
      <c r="AF43" s="654">
        <f t="shared" si="9"/>
        <v>0</v>
      </c>
      <c r="AG43" s="654">
        <f t="shared" si="9"/>
        <v>0</v>
      </c>
      <c r="AH43" s="654">
        <f t="shared" si="9"/>
        <v>0</v>
      </c>
      <c r="AI43" s="654">
        <f aca="true" t="shared" si="10" ref="AI43:BJ43">_xlfn.IFERROR(AI38*(AI29/AI31),0)</f>
        <v>0</v>
      </c>
      <c r="AJ43" s="654">
        <f t="shared" si="10"/>
        <v>0</v>
      </c>
      <c r="AK43" s="654">
        <f t="shared" si="10"/>
        <v>0</v>
      </c>
      <c r="AL43" s="654">
        <f t="shared" si="10"/>
        <v>0</v>
      </c>
      <c r="AM43" s="654">
        <f t="shared" si="10"/>
        <v>0</v>
      </c>
      <c r="AN43" s="654">
        <f t="shared" si="10"/>
        <v>0</v>
      </c>
      <c r="AO43" s="654">
        <f t="shared" si="10"/>
        <v>0</v>
      </c>
      <c r="AP43" s="654">
        <f t="shared" si="10"/>
        <v>0</v>
      </c>
      <c r="AQ43" s="654">
        <f t="shared" si="10"/>
        <v>0</v>
      </c>
      <c r="AR43" s="654">
        <f t="shared" si="10"/>
        <v>0</v>
      </c>
      <c r="AS43" s="654">
        <f t="shared" si="10"/>
        <v>0</v>
      </c>
      <c r="AT43" s="654">
        <f t="shared" si="10"/>
        <v>0</v>
      </c>
      <c r="AU43" s="654">
        <f t="shared" si="10"/>
        <v>0</v>
      </c>
      <c r="AV43" s="654">
        <f t="shared" si="10"/>
        <v>0</v>
      </c>
      <c r="AW43" s="654">
        <f t="shared" si="10"/>
        <v>0</v>
      </c>
      <c r="AX43" s="654">
        <f t="shared" si="10"/>
        <v>0</v>
      </c>
      <c r="AY43" s="654">
        <f t="shared" si="10"/>
        <v>0</v>
      </c>
      <c r="AZ43" s="654">
        <f t="shared" si="10"/>
        <v>0</v>
      </c>
      <c r="BA43" s="654">
        <f t="shared" si="10"/>
        <v>0</v>
      </c>
      <c r="BB43" s="654">
        <f t="shared" si="10"/>
        <v>0</v>
      </c>
      <c r="BC43" s="654">
        <f t="shared" si="10"/>
        <v>0</v>
      </c>
      <c r="BD43" s="654">
        <f t="shared" si="10"/>
        <v>0</v>
      </c>
      <c r="BE43" s="654">
        <f t="shared" si="10"/>
        <v>0</v>
      </c>
      <c r="BF43" s="654">
        <f t="shared" si="10"/>
        <v>0</v>
      </c>
      <c r="BG43" s="654">
        <f t="shared" si="10"/>
        <v>0</v>
      </c>
      <c r="BH43" s="654">
        <f t="shared" si="10"/>
        <v>0</v>
      </c>
      <c r="BI43" s="654">
        <f t="shared" si="10"/>
        <v>0</v>
      </c>
      <c r="BJ43" s="654">
        <f t="shared" si="10"/>
        <v>0</v>
      </c>
    </row>
    <row r="44" spans="1:62" s="161" customFormat="1" ht="15.75">
      <c r="A44" s="653" t="s">
        <v>289</v>
      </c>
      <c r="B44" s="653"/>
      <c r="C44" s="654">
        <f aca="true" t="shared" si="11" ref="C44:AH44">_xlfn.IFERROR(C38*(C30/C31),0)</f>
        <v>0.25593750000000004</v>
      </c>
      <c r="D44" s="654">
        <f t="shared" si="11"/>
        <v>0.5145410156250001</v>
      </c>
      <c r="E44" s="654">
        <f t="shared" si="11"/>
        <v>0.7758383178710938</v>
      </c>
      <c r="F44" s="654">
        <f t="shared" si="11"/>
        <v>0</v>
      </c>
      <c r="G44" s="654">
        <f t="shared" si="11"/>
        <v>0</v>
      </c>
      <c r="H44" s="654">
        <f t="shared" si="11"/>
        <v>0</v>
      </c>
      <c r="I44" s="654">
        <f t="shared" si="11"/>
        <v>0</v>
      </c>
      <c r="J44" s="654">
        <f t="shared" si="11"/>
        <v>0</v>
      </c>
      <c r="K44" s="654">
        <f t="shared" si="11"/>
        <v>0</v>
      </c>
      <c r="L44" s="654">
        <f t="shared" si="11"/>
        <v>0</v>
      </c>
      <c r="M44" s="654">
        <f t="shared" si="11"/>
        <v>0</v>
      </c>
      <c r="N44" s="654">
        <f t="shared" si="11"/>
        <v>0</v>
      </c>
      <c r="O44" s="654">
        <f t="shared" si="11"/>
        <v>0</v>
      </c>
      <c r="P44" s="654">
        <f t="shared" si="11"/>
        <v>0</v>
      </c>
      <c r="Q44" s="654">
        <f t="shared" si="11"/>
        <v>0</v>
      </c>
      <c r="R44" s="654">
        <f t="shared" si="11"/>
        <v>0</v>
      </c>
      <c r="S44" s="654">
        <f t="shared" si="11"/>
        <v>0</v>
      </c>
      <c r="T44" s="654">
        <f t="shared" si="11"/>
        <v>0</v>
      </c>
      <c r="U44" s="654">
        <f t="shared" si="11"/>
        <v>0</v>
      </c>
      <c r="V44" s="654">
        <f t="shared" si="11"/>
        <v>0</v>
      </c>
      <c r="W44" s="654">
        <f t="shared" si="11"/>
        <v>0</v>
      </c>
      <c r="X44" s="654">
        <f t="shared" si="11"/>
        <v>0</v>
      </c>
      <c r="Y44" s="654">
        <f t="shared" si="11"/>
        <v>0</v>
      </c>
      <c r="Z44" s="654">
        <f t="shared" si="11"/>
        <v>0</v>
      </c>
      <c r="AA44" s="654">
        <f t="shared" si="11"/>
        <v>0</v>
      </c>
      <c r="AB44" s="654">
        <f t="shared" si="11"/>
        <v>0</v>
      </c>
      <c r="AC44" s="654">
        <f t="shared" si="11"/>
        <v>0</v>
      </c>
      <c r="AD44" s="654">
        <f t="shared" si="11"/>
        <v>0</v>
      </c>
      <c r="AE44" s="654">
        <f t="shared" si="11"/>
        <v>0</v>
      </c>
      <c r="AF44" s="654">
        <f t="shared" si="11"/>
        <v>0</v>
      </c>
      <c r="AG44" s="654">
        <f t="shared" si="11"/>
        <v>0</v>
      </c>
      <c r="AH44" s="654">
        <f t="shared" si="11"/>
        <v>0</v>
      </c>
      <c r="AI44" s="654">
        <f aca="true" t="shared" si="12" ref="AI44:BJ44">_xlfn.IFERROR(AI38*(AI30/AI31),0)</f>
        <v>0</v>
      </c>
      <c r="AJ44" s="654">
        <f t="shared" si="12"/>
        <v>0</v>
      </c>
      <c r="AK44" s="654">
        <f t="shared" si="12"/>
        <v>0</v>
      </c>
      <c r="AL44" s="654">
        <f t="shared" si="12"/>
        <v>0</v>
      </c>
      <c r="AM44" s="654">
        <f t="shared" si="12"/>
        <v>0</v>
      </c>
      <c r="AN44" s="654">
        <f t="shared" si="12"/>
        <v>0</v>
      </c>
      <c r="AO44" s="654">
        <f t="shared" si="12"/>
        <v>0</v>
      </c>
      <c r="AP44" s="654">
        <f t="shared" si="12"/>
        <v>0</v>
      </c>
      <c r="AQ44" s="654">
        <f t="shared" si="12"/>
        <v>0</v>
      </c>
      <c r="AR44" s="654">
        <f t="shared" si="12"/>
        <v>0</v>
      </c>
      <c r="AS44" s="654">
        <f t="shared" si="12"/>
        <v>0</v>
      </c>
      <c r="AT44" s="654">
        <f t="shared" si="12"/>
        <v>0</v>
      </c>
      <c r="AU44" s="654">
        <f t="shared" si="12"/>
        <v>0</v>
      </c>
      <c r="AV44" s="654">
        <f t="shared" si="12"/>
        <v>0</v>
      </c>
      <c r="AW44" s="654">
        <f t="shared" si="12"/>
        <v>0</v>
      </c>
      <c r="AX44" s="654">
        <f t="shared" si="12"/>
        <v>0</v>
      </c>
      <c r="AY44" s="654">
        <f t="shared" si="12"/>
        <v>0</v>
      </c>
      <c r="AZ44" s="654">
        <f t="shared" si="12"/>
        <v>0</v>
      </c>
      <c r="BA44" s="654">
        <f t="shared" si="12"/>
        <v>0</v>
      </c>
      <c r="BB44" s="654">
        <f t="shared" si="12"/>
        <v>0</v>
      </c>
      <c r="BC44" s="654">
        <f t="shared" si="12"/>
        <v>0</v>
      </c>
      <c r="BD44" s="654">
        <f t="shared" si="12"/>
        <v>0</v>
      </c>
      <c r="BE44" s="654">
        <f t="shared" si="12"/>
        <v>0</v>
      </c>
      <c r="BF44" s="654">
        <f t="shared" si="12"/>
        <v>0</v>
      </c>
      <c r="BG44" s="654">
        <f t="shared" si="12"/>
        <v>0</v>
      </c>
      <c r="BH44" s="654">
        <f t="shared" si="12"/>
        <v>0</v>
      </c>
      <c r="BI44" s="654">
        <f t="shared" si="12"/>
        <v>0</v>
      </c>
      <c r="BJ44" s="654">
        <f t="shared" si="12"/>
        <v>0</v>
      </c>
    </row>
    <row r="45" spans="1:62" s="161" customFormat="1" ht="15.75">
      <c r="A45" s="656"/>
      <c r="B45" s="656"/>
      <c r="C45" s="657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656"/>
      <c r="AL45" s="656"/>
      <c r="AM45" s="656"/>
      <c r="AN45" s="656"/>
      <c r="AO45" s="656"/>
      <c r="AP45" s="656"/>
      <c r="AQ45" s="656"/>
      <c r="AR45" s="656"/>
      <c r="AS45" s="656"/>
      <c r="AT45" s="656"/>
      <c r="AU45" s="656"/>
      <c r="AV45" s="656"/>
      <c r="AW45" s="656"/>
      <c r="AX45" s="656"/>
      <c r="AY45" s="656"/>
      <c r="AZ45" s="656"/>
      <c r="BA45" s="656"/>
      <c r="BB45" s="656"/>
      <c r="BC45" s="656"/>
      <c r="BD45" s="656"/>
      <c r="BE45" s="656"/>
      <c r="BF45" s="656"/>
      <c r="BG45" s="656"/>
      <c r="BH45" s="656"/>
      <c r="BI45" s="656"/>
      <c r="BJ45" s="656"/>
    </row>
    <row r="46" spans="1:256" s="161" customFormat="1" ht="15.75">
      <c r="A46" s="653" t="s">
        <v>252</v>
      </c>
      <c r="B46" s="654" t="s">
        <v>286</v>
      </c>
      <c r="C46" s="659">
        <v>1</v>
      </c>
      <c r="D46" s="659">
        <v>2</v>
      </c>
      <c r="E46" s="659">
        <v>3</v>
      </c>
      <c r="F46" s="659">
        <v>4</v>
      </c>
      <c r="G46" s="659">
        <v>5</v>
      </c>
      <c r="H46" s="659">
        <v>6</v>
      </c>
      <c r="I46" s="659">
        <v>7</v>
      </c>
      <c r="J46" s="659">
        <v>8</v>
      </c>
      <c r="K46" s="659">
        <v>9</v>
      </c>
      <c r="L46" s="659">
        <v>10</v>
      </c>
      <c r="M46" s="659">
        <v>11</v>
      </c>
      <c r="N46" s="659">
        <v>12</v>
      </c>
      <c r="O46" s="659">
        <v>13</v>
      </c>
      <c r="P46" s="659">
        <v>14</v>
      </c>
      <c r="Q46" s="659">
        <v>15</v>
      </c>
      <c r="R46" s="659">
        <v>16</v>
      </c>
      <c r="S46" s="659">
        <v>17</v>
      </c>
      <c r="T46" s="659">
        <v>18</v>
      </c>
      <c r="U46" s="659">
        <v>19</v>
      </c>
      <c r="V46" s="659">
        <v>20</v>
      </c>
      <c r="W46" s="659">
        <v>21</v>
      </c>
      <c r="X46" s="659">
        <v>22</v>
      </c>
      <c r="Y46" s="659">
        <v>23</v>
      </c>
      <c r="Z46" s="659">
        <v>24</v>
      </c>
      <c r="AA46" s="659">
        <v>25</v>
      </c>
      <c r="AB46" s="659">
        <v>26</v>
      </c>
      <c r="AC46" s="659">
        <v>27</v>
      </c>
      <c r="AD46" s="659">
        <v>28</v>
      </c>
      <c r="AE46" s="659">
        <v>29</v>
      </c>
      <c r="AF46" s="659">
        <v>30</v>
      </c>
      <c r="AG46" s="659">
        <v>31</v>
      </c>
      <c r="AH46" s="659">
        <v>32</v>
      </c>
      <c r="AI46" s="659">
        <v>33</v>
      </c>
      <c r="AJ46" s="659">
        <v>34</v>
      </c>
      <c r="AK46" s="659">
        <v>35</v>
      </c>
      <c r="AL46" s="659">
        <v>36</v>
      </c>
      <c r="AM46" s="659">
        <v>37</v>
      </c>
      <c r="AN46" s="659">
        <v>38</v>
      </c>
      <c r="AO46" s="659">
        <v>39</v>
      </c>
      <c r="AP46" s="659">
        <v>40</v>
      </c>
      <c r="AQ46" s="659">
        <v>41</v>
      </c>
      <c r="AR46" s="659">
        <v>42</v>
      </c>
      <c r="AS46" s="659">
        <v>43</v>
      </c>
      <c r="AT46" s="659">
        <v>44</v>
      </c>
      <c r="AU46" s="659">
        <v>45</v>
      </c>
      <c r="AV46" s="659">
        <v>46</v>
      </c>
      <c r="AW46" s="659">
        <v>47</v>
      </c>
      <c r="AX46" s="659">
        <v>48</v>
      </c>
      <c r="AY46" s="659">
        <v>49</v>
      </c>
      <c r="AZ46" s="659">
        <v>50</v>
      </c>
      <c r="BA46" s="659">
        <v>51</v>
      </c>
      <c r="BB46" s="659">
        <v>52</v>
      </c>
      <c r="BC46" s="659">
        <v>53</v>
      </c>
      <c r="BD46" s="659">
        <v>54</v>
      </c>
      <c r="BE46" s="659">
        <v>55</v>
      </c>
      <c r="BF46" s="659">
        <v>56</v>
      </c>
      <c r="BG46" s="659">
        <v>57</v>
      </c>
      <c r="BH46" s="659">
        <v>58</v>
      </c>
      <c r="BI46" s="659">
        <v>59</v>
      </c>
      <c r="BJ46" s="659">
        <v>60</v>
      </c>
      <c r="BK46" s="160">
        <v>61</v>
      </c>
      <c r="BL46" s="160">
        <v>62</v>
      </c>
      <c r="BM46" s="160">
        <v>63</v>
      </c>
      <c r="BN46" s="160">
        <v>64</v>
      </c>
      <c r="BO46" s="160">
        <v>65</v>
      </c>
      <c r="BP46" s="160">
        <v>66</v>
      </c>
      <c r="BQ46" s="160">
        <v>67</v>
      </c>
      <c r="BR46" s="160">
        <v>68</v>
      </c>
      <c r="BS46" s="160">
        <v>69</v>
      </c>
      <c r="BT46" s="160">
        <v>70</v>
      </c>
      <c r="BU46" s="160">
        <v>71</v>
      </c>
      <c r="BV46" s="160">
        <v>72</v>
      </c>
      <c r="BW46" s="160">
        <v>73</v>
      </c>
      <c r="BX46" s="160">
        <v>74</v>
      </c>
      <c r="BY46" s="160">
        <v>75</v>
      </c>
      <c r="BZ46" s="160">
        <v>76</v>
      </c>
      <c r="CA46" s="160">
        <v>77</v>
      </c>
      <c r="CB46" s="160">
        <v>78</v>
      </c>
      <c r="CC46" s="160">
        <v>79</v>
      </c>
      <c r="CD46" s="160">
        <v>80</v>
      </c>
      <c r="CE46" s="160">
        <v>81</v>
      </c>
      <c r="CF46" s="160">
        <v>82</v>
      </c>
      <c r="CG46" s="160">
        <v>83</v>
      </c>
      <c r="CH46" s="160">
        <v>84</v>
      </c>
      <c r="CI46" s="160">
        <v>85</v>
      </c>
      <c r="CJ46" s="160">
        <v>86</v>
      </c>
      <c r="CK46" s="160">
        <v>87</v>
      </c>
      <c r="CL46" s="160">
        <v>88</v>
      </c>
      <c r="CM46" s="160">
        <v>89</v>
      </c>
      <c r="CN46" s="160">
        <v>90</v>
      </c>
      <c r="CO46" s="160">
        <v>91</v>
      </c>
      <c r="CP46" s="160">
        <v>92</v>
      </c>
      <c r="CQ46" s="160">
        <v>93</v>
      </c>
      <c r="CR46" s="160">
        <v>94</v>
      </c>
      <c r="CS46" s="160">
        <v>95</v>
      </c>
      <c r="CT46" s="160">
        <v>96</v>
      </c>
      <c r="CU46" s="160">
        <v>97</v>
      </c>
      <c r="CV46" s="160">
        <v>98</v>
      </c>
      <c r="CW46" s="160">
        <v>99</v>
      </c>
      <c r="CX46" s="160">
        <v>100</v>
      </c>
      <c r="CY46" s="160">
        <v>101</v>
      </c>
      <c r="CZ46" s="160">
        <v>102</v>
      </c>
      <c r="DA46" s="160">
        <v>103</v>
      </c>
      <c r="DB46" s="160">
        <v>104</v>
      </c>
      <c r="DC46" s="160">
        <v>105</v>
      </c>
      <c r="DD46" s="160">
        <v>106</v>
      </c>
      <c r="DE46" s="160">
        <v>107</v>
      </c>
      <c r="DF46" s="160">
        <v>108</v>
      </c>
      <c r="DG46" s="160">
        <v>109</v>
      </c>
      <c r="DH46" s="160">
        <v>110</v>
      </c>
      <c r="DI46" s="160">
        <v>111</v>
      </c>
      <c r="DJ46" s="160">
        <v>112</v>
      </c>
      <c r="DK46" s="160">
        <v>113</v>
      </c>
      <c r="DL46" s="160">
        <v>114</v>
      </c>
      <c r="DM46" s="160">
        <v>115</v>
      </c>
      <c r="DN46" s="160">
        <v>116</v>
      </c>
      <c r="DO46" s="160">
        <v>117</v>
      </c>
      <c r="DP46" s="160">
        <v>118</v>
      </c>
      <c r="DQ46" s="160">
        <v>119</v>
      </c>
      <c r="DR46" s="160">
        <v>120</v>
      </c>
      <c r="DS46" s="160">
        <v>121</v>
      </c>
      <c r="DT46" s="160">
        <v>122</v>
      </c>
      <c r="DU46" s="160">
        <v>123</v>
      </c>
      <c r="DV46" s="160">
        <v>124</v>
      </c>
      <c r="DW46" s="160">
        <v>125</v>
      </c>
      <c r="DX46" s="160">
        <v>126</v>
      </c>
      <c r="DY46" s="160">
        <v>127</v>
      </c>
      <c r="DZ46" s="160">
        <v>128</v>
      </c>
      <c r="EA46" s="160">
        <v>129</v>
      </c>
      <c r="EB46" s="160">
        <v>130</v>
      </c>
      <c r="EC46" s="160">
        <v>131</v>
      </c>
      <c r="ED46" s="160">
        <v>132</v>
      </c>
      <c r="EE46" s="160">
        <v>133</v>
      </c>
      <c r="EF46" s="160">
        <v>134</v>
      </c>
      <c r="EG46" s="160">
        <v>135</v>
      </c>
      <c r="EH46" s="160">
        <v>136</v>
      </c>
      <c r="EI46" s="160">
        <v>137</v>
      </c>
      <c r="EJ46" s="160">
        <v>138</v>
      </c>
      <c r="EK46" s="160">
        <v>139</v>
      </c>
      <c r="EL46" s="160">
        <v>140</v>
      </c>
      <c r="EM46" s="160">
        <v>141</v>
      </c>
      <c r="EN46" s="160">
        <v>142</v>
      </c>
      <c r="EO46" s="160">
        <v>143</v>
      </c>
      <c r="EP46" s="160">
        <v>144</v>
      </c>
      <c r="EQ46" s="160">
        <v>145</v>
      </c>
      <c r="ER46" s="160">
        <v>146</v>
      </c>
      <c r="ES46" s="160">
        <v>147</v>
      </c>
      <c r="ET46" s="160">
        <v>148</v>
      </c>
      <c r="EU46" s="160">
        <v>149</v>
      </c>
      <c r="EV46" s="160">
        <v>150</v>
      </c>
      <c r="EW46" s="160">
        <v>151</v>
      </c>
      <c r="EX46" s="160">
        <v>152</v>
      </c>
      <c r="EY46" s="160">
        <v>153</v>
      </c>
      <c r="EZ46" s="160">
        <v>154</v>
      </c>
      <c r="FA46" s="160">
        <v>155</v>
      </c>
      <c r="FB46" s="160">
        <v>156</v>
      </c>
      <c r="FC46" s="160">
        <v>157</v>
      </c>
      <c r="FD46" s="160">
        <v>158</v>
      </c>
      <c r="FE46" s="160">
        <v>159</v>
      </c>
      <c r="FF46" s="160">
        <v>160</v>
      </c>
      <c r="FG46" s="160">
        <v>161</v>
      </c>
      <c r="FH46" s="160">
        <v>162</v>
      </c>
      <c r="FI46" s="160">
        <v>163</v>
      </c>
      <c r="FJ46" s="160">
        <v>164</v>
      </c>
      <c r="FK46" s="160">
        <v>165</v>
      </c>
      <c r="FL46" s="160">
        <v>166</v>
      </c>
      <c r="FM46" s="160">
        <v>167</v>
      </c>
      <c r="FN46" s="160">
        <v>168</v>
      </c>
      <c r="FO46" s="160">
        <v>169</v>
      </c>
      <c r="FP46" s="160">
        <v>170</v>
      </c>
      <c r="FQ46" s="160">
        <v>171</v>
      </c>
      <c r="FR46" s="160">
        <v>172</v>
      </c>
      <c r="FS46" s="160">
        <v>173</v>
      </c>
      <c r="FT46" s="160">
        <v>174</v>
      </c>
      <c r="FU46" s="160">
        <v>175</v>
      </c>
      <c r="FV46" s="160">
        <v>176</v>
      </c>
      <c r="FW46" s="160">
        <v>177</v>
      </c>
      <c r="FX46" s="160">
        <v>178</v>
      </c>
      <c r="FY46" s="160">
        <v>179</v>
      </c>
      <c r="FZ46" s="160">
        <v>180</v>
      </c>
      <c r="GA46" s="160">
        <v>181</v>
      </c>
      <c r="GB46" s="160">
        <v>182</v>
      </c>
      <c r="GC46" s="160">
        <v>183</v>
      </c>
      <c r="GD46" s="160">
        <v>184</v>
      </c>
      <c r="GE46" s="160">
        <v>185</v>
      </c>
      <c r="GF46" s="160">
        <v>186</v>
      </c>
      <c r="GG46" s="160">
        <v>187</v>
      </c>
      <c r="GH46" s="160">
        <v>188</v>
      </c>
      <c r="GI46" s="160">
        <v>189</v>
      </c>
      <c r="GJ46" s="160">
        <v>190</v>
      </c>
      <c r="GK46" s="160">
        <v>191</v>
      </c>
      <c r="GL46" s="160">
        <v>192</v>
      </c>
      <c r="GM46" s="160">
        <v>193</v>
      </c>
      <c r="GN46" s="160">
        <v>194</v>
      </c>
      <c r="GO46" s="160">
        <v>195</v>
      </c>
      <c r="GP46" s="160">
        <v>196</v>
      </c>
      <c r="GQ46" s="160">
        <v>197</v>
      </c>
      <c r="GR46" s="160">
        <v>198</v>
      </c>
      <c r="GS46" s="160">
        <v>199</v>
      </c>
      <c r="GT46" s="160">
        <v>200</v>
      </c>
      <c r="GU46" s="160">
        <v>201</v>
      </c>
      <c r="GV46" s="160">
        <v>202</v>
      </c>
      <c r="GW46" s="160">
        <v>203</v>
      </c>
      <c r="GX46" s="160">
        <v>204</v>
      </c>
      <c r="GY46" s="160">
        <v>205</v>
      </c>
      <c r="GZ46" s="160">
        <v>206</v>
      </c>
      <c r="HA46" s="160">
        <v>207</v>
      </c>
      <c r="HB46" s="160">
        <v>208</v>
      </c>
      <c r="HC46" s="160">
        <v>209</v>
      </c>
      <c r="HD46" s="160">
        <v>210</v>
      </c>
      <c r="HE46" s="160">
        <v>211</v>
      </c>
      <c r="HF46" s="160">
        <v>212</v>
      </c>
      <c r="HG46" s="160">
        <v>213</v>
      </c>
      <c r="HH46" s="160">
        <v>214</v>
      </c>
      <c r="HI46" s="160">
        <v>215</v>
      </c>
      <c r="HJ46" s="160">
        <v>216</v>
      </c>
      <c r="HK46" s="160">
        <v>217</v>
      </c>
      <c r="HL46" s="160">
        <v>218</v>
      </c>
      <c r="HM46" s="160">
        <v>219</v>
      </c>
      <c r="HN46" s="160">
        <v>220</v>
      </c>
      <c r="HO46" s="160">
        <v>221</v>
      </c>
      <c r="HP46" s="160">
        <v>222</v>
      </c>
      <c r="HQ46" s="160">
        <v>223</v>
      </c>
      <c r="HR46" s="160">
        <v>224</v>
      </c>
      <c r="HS46" s="160">
        <v>225</v>
      </c>
      <c r="HT46" s="160">
        <v>226</v>
      </c>
      <c r="HU46" s="160">
        <v>227</v>
      </c>
      <c r="HV46" s="160">
        <v>228</v>
      </c>
      <c r="HW46" s="160">
        <v>229</v>
      </c>
      <c r="HX46" s="160">
        <v>230</v>
      </c>
      <c r="HY46" s="160">
        <v>231</v>
      </c>
      <c r="HZ46" s="160">
        <v>232</v>
      </c>
      <c r="IA46" s="160">
        <v>233</v>
      </c>
      <c r="IB46" s="160">
        <v>234</v>
      </c>
      <c r="IC46" s="160">
        <v>235</v>
      </c>
      <c r="ID46" s="160">
        <v>236</v>
      </c>
      <c r="IE46" s="160">
        <v>237</v>
      </c>
      <c r="IF46" s="160">
        <v>238</v>
      </c>
      <c r="IG46" s="160">
        <v>239</v>
      </c>
      <c r="IH46" s="160">
        <v>240</v>
      </c>
      <c r="II46" s="160">
        <v>241</v>
      </c>
      <c r="IJ46" s="160">
        <v>242</v>
      </c>
      <c r="IK46" s="160">
        <v>243</v>
      </c>
      <c r="IL46" s="160">
        <v>244</v>
      </c>
      <c r="IM46" s="160">
        <v>245</v>
      </c>
      <c r="IN46" s="160">
        <v>246</v>
      </c>
      <c r="IO46" s="160">
        <v>247</v>
      </c>
      <c r="IP46" s="160">
        <v>248</v>
      </c>
      <c r="IQ46" s="160">
        <v>249</v>
      </c>
      <c r="IR46" s="160">
        <v>250</v>
      </c>
      <c r="IS46" s="160">
        <v>251</v>
      </c>
      <c r="IT46" s="160">
        <v>252</v>
      </c>
      <c r="IU46" s="160">
        <v>253</v>
      </c>
      <c r="IV46" s="160">
        <v>254</v>
      </c>
    </row>
    <row r="47" spans="1:62" s="161" customFormat="1" ht="15.75">
      <c r="A47" s="653" t="s">
        <v>290</v>
      </c>
      <c r="B47" s="654">
        <f>(C9*(1+Parameters!$C$99))</f>
        <v>0</v>
      </c>
      <c r="C47" s="654">
        <f>IF(C46&lt;=Parameters!$C$23,$B$47/Parameters!$C$23,0)</f>
        <v>0</v>
      </c>
      <c r="D47" s="654">
        <f>IF(D46&lt;=Parameters!$C$23,$B$47/Parameters!$C$23,0)</f>
        <v>0</v>
      </c>
      <c r="E47" s="654">
        <f>IF(E46&lt;=Parameters!$C$23,$B$47/Parameters!$C$23,0)</f>
        <v>0</v>
      </c>
      <c r="F47" s="654">
        <f>IF(F46&lt;=Parameters!$C$23,$B$47/Parameters!$C$23,0)</f>
        <v>0</v>
      </c>
      <c r="G47" s="654">
        <f>IF(G46&lt;=Parameters!$C$23,$B$47/Parameters!$C$23,0)</f>
        <v>0</v>
      </c>
      <c r="H47" s="654">
        <f>IF(H46&lt;=Parameters!$C$23,$B$47/Parameters!$C$23,0)</f>
        <v>0</v>
      </c>
      <c r="I47" s="654">
        <f>IF(I46&lt;=Parameters!$C$23,$B$47/Parameters!$C$23,0)</f>
        <v>0</v>
      </c>
      <c r="J47" s="654">
        <f>IF(J46&lt;=Parameters!$C$23,$B$47/Parameters!$C$23,0)</f>
        <v>0</v>
      </c>
      <c r="K47" s="654">
        <f>IF(K46&lt;=Parameters!$C$23,$B$47/Parameters!$C$23,0)</f>
        <v>0</v>
      </c>
      <c r="L47" s="654">
        <f>IF(L46&lt;=Parameters!$C$23,$B$47/Parameters!$C$23,0)</f>
        <v>0</v>
      </c>
      <c r="M47" s="654">
        <f>IF(M46&lt;=Parameters!$C$23,$B$47/Parameters!$C$23,0)</f>
        <v>0</v>
      </c>
      <c r="N47" s="654">
        <f>IF(N46&lt;=Parameters!$C$23,$B$47/Parameters!$C$23,0)</f>
        <v>0</v>
      </c>
      <c r="O47" s="654">
        <f>IF(O46&lt;=Parameters!$C$23,$B$47/Parameters!$C$23,0)</f>
        <v>0</v>
      </c>
      <c r="P47" s="654">
        <f>IF(P46&lt;=Parameters!$C$23,$B$47/Parameters!$C$23,0)</f>
        <v>0</v>
      </c>
      <c r="Q47" s="654">
        <f>IF(Q46&lt;=Parameters!$C$23,$B$47/Parameters!$C$23,0)</f>
        <v>0</v>
      </c>
      <c r="R47" s="654">
        <f>IF(R46&lt;=Parameters!$C$23,$B$47/Parameters!$C$23,0)</f>
        <v>0</v>
      </c>
      <c r="S47" s="654">
        <f>IF(S46&lt;=Parameters!$C$23,$B$47/Parameters!$C$23,0)</f>
        <v>0</v>
      </c>
      <c r="T47" s="654">
        <f>IF(T46&lt;=Parameters!$C$23,$B$47/Parameters!$C$23,0)</f>
        <v>0</v>
      </c>
      <c r="U47" s="654">
        <f>IF(U46&lt;=Parameters!$C$23,$B$47/Parameters!$C$23,0)</f>
        <v>0</v>
      </c>
      <c r="V47" s="654">
        <f>IF(V46&lt;=Parameters!$C$23,$B$47/Parameters!$C$23,0)</f>
        <v>0</v>
      </c>
      <c r="W47" s="654">
        <f>IF(W46&lt;=Parameters!$C$23,$B$47/Parameters!$C$23,0)</f>
        <v>0</v>
      </c>
      <c r="X47" s="654">
        <f>IF(X46&lt;=Parameters!$C$23,$B$47/Parameters!$C$23,0)</f>
        <v>0</v>
      </c>
      <c r="Y47" s="654">
        <f>IF(Y46&lt;=Parameters!$C$23,$B$47/Parameters!$C$23,0)</f>
        <v>0</v>
      </c>
      <c r="Z47" s="654">
        <f>IF(Z46&lt;=Parameters!$C$23,$B$47/Parameters!$C$23,0)</f>
        <v>0</v>
      </c>
      <c r="AA47" s="654">
        <f>IF(AA46&lt;=Parameters!$C$23,$B$47/Parameters!$C$23,0)</f>
        <v>0</v>
      </c>
      <c r="AB47" s="654">
        <f>IF(AB46&lt;=Parameters!$C$23,$B$47/Parameters!$C$23,0)</f>
        <v>0</v>
      </c>
      <c r="AC47" s="654">
        <f>IF(AC46&lt;=Parameters!$C$23,$B$47/Parameters!$C$23,0)</f>
        <v>0</v>
      </c>
      <c r="AD47" s="654">
        <f>IF(AD46&lt;=Parameters!$C$23,$B$47/Parameters!$C$23,0)</f>
        <v>0</v>
      </c>
      <c r="AE47" s="654">
        <f>IF(AE46&lt;=Parameters!$C$23,$B$47/Parameters!$C$23,0)</f>
        <v>0</v>
      </c>
      <c r="AF47" s="654">
        <f>IF(AF46&lt;=Parameters!$C$23,$B$47/Parameters!$C$23,0)</f>
        <v>0</v>
      </c>
      <c r="AG47" s="654">
        <f>IF(AG46&lt;=Parameters!$C$23,$B$47/Parameters!$C$23,0)</f>
        <v>0</v>
      </c>
      <c r="AH47" s="654">
        <f>IF(AH46&lt;=Parameters!$C$23,$B$47/Parameters!$C$23,0)</f>
        <v>0</v>
      </c>
      <c r="AI47" s="654">
        <f>IF(AI46&lt;=Parameters!$C$23,$B$47/Parameters!$C$23,0)</f>
        <v>0</v>
      </c>
      <c r="AJ47" s="654">
        <f>IF(AJ46&lt;=Parameters!$C$23,$B$47/Parameters!$C$23,0)</f>
        <v>0</v>
      </c>
      <c r="AK47" s="654">
        <f>IF(AK46&lt;=Parameters!$C$23,$B$47/Parameters!$C$23,0)</f>
        <v>0</v>
      </c>
      <c r="AL47" s="654">
        <f>IF(AL46&lt;=Parameters!$C$23,$B$47/Parameters!$C$23,0)</f>
        <v>0</v>
      </c>
      <c r="AM47" s="654">
        <f>IF(AM46&lt;=Parameters!$C$23,$B$47/Parameters!$C$23,0)</f>
        <v>0</v>
      </c>
      <c r="AN47" s="654">
        <f>IF(AN46&lt;=Parameters!$C$23,$B$47/Parameters!$C$23,0)</f>
        <v>0</v>
      </c>
      <c r="AO47" s="654">
        <f>IF(AO46&lt;=Parameters!$C$23,$B$47/Parameters!$C$23,0)</f>
        <v>0</v>
      </c>
      <c r="AP47" s="654">
        <f>IF(AP46&lt;=Parameters!$C$23,$B$47/Parameters!$C$23,0)</f>
        <v>0</v>
      </c>
      <c r="AQ47" s="654">
        <f>IF(AQ46&lt;=Parameters!$C$23,$B$47/Parameters!$C$23,0)</f>
        <v>0</v>
      </c>
      <c r="AR47" s="654">
        <f>IF(AR46&lt;=Parameters!$C$23,$B$47/Parameters!$C$23,0)</f>
        <v>0</v>
      </c>
      <c r="AS47" s="654">
        <f>IF(AS46&lt;=Parameters!$C$23,$B$47/Parameters!$C$23,0)</f>
        <v>0</v>
      </c>
      <c r="AT47" s="654">
        <f>IF(AT46&lt;=Parameters!$C$23,$B$47/Parameters!$C$23,0)</f>
        <v>0</v>
      </c>
      <c r="AU47" s="654">
        <f>IF(AU46&lt;=Parameters!$C$23,$B$47/Parameters!$C$23,0)</f>
        <v>0</v>
      </c>
      <c r="AV47" s="654">
        <f>IF(AV46&lt;=Parameters!$C$23,$B$47/Parameters!$C$23,0)</f>
        <v>0</v>
      </c>
      <c r="AW47" s="654">
        <f>IF(AW46&lt;=Parameters!$C$23,$B$47/Parameters!$C$23,0)</f>
        <v>0</v>
      </c>
      <c r="AX47" s="654">
        <f>IF(AX46&lt;=Parameters!$C$23,$B$47/Parameters!$C$23,0)</f>
        <v>0</v>
      </c>
      <c r="AY47" s="654">
        <f>IF(AY46&lt;=Parameters!$C$23,$B$47/Parameters!$C$23,0)</f>
        <v>0</v>
      </c>
      <c r="AZ47" s="654">
        <f>IF(AZ46&lt;=Parameters!$C$23,$B$47/Parameters!$C$23,0)</f>
        <v>0</v>
      </c>
      <c r="BA47" s="654">
        <f>IF(BA46&lt;=Parameters!$C$23,$B$47/Parameters!$C$23,0)</f>
        <v>0</v>
      </c>
      <c r="BB47" s="654">
        <f>IF(BB46&lt;=Parameters!$C$23,$B$47/Parameters!$C$23,0)</f>
        <v>0</v>
      </c>
      <c r="BC47" s="654">
        <f>IF(BC46&lt;=Parameters!$C$23,$B$47/Parameters!$C$23,0)</f>
        <v>0</v>
      </c>
      <c r="BD47" s="654">
        <f>IF(BD46&lt;=Parameters!$C$23,$B$47/Parameters!$C$23,0)</f>
        <v>0</v>
      </c>
      <c r="BE47" s="654">
        <f>IF(BE46&lt;=Parameters!$C$23,$B$47/Parameters!$C$23,0)</f>
        <v>0</v>
      </c>
      <c r="BF47" s="654">
        <f>IF(BF46&lt;=Parameters!$C$23,$B$47/Parameters!$C$23,0)</f>
        <v>0</v>
      </c>
      <c r="BG47" s="654">
        <f>IF(BG46&lt;=Parameters!$C$23,$B$47/Parameters!$C$23,0)</f>
        <v>0</v>
      </c>
      <c r="BH47" s="654">
        <f>IF(BH46&lt;=Parameters!$C$23,$B$47/Parameters!$C$23,0)</f>
        <v>0</v>
      </c>
      <c r="BI47" s="654">
        <f>IF(BI46&lt;=Parameters!$C$23,$B$47/Parameters!$C$23,0)</f>
        <v>0</v>
      </c>
      <c r="BJ47" s="654">
        <f>IF(BJ46&lt;=Parameters!$C$23,$B$47/Parameters!$C$23,0)</f>
        <v>0</v>
      </c>
    </row>
    <row r="48" spans="1:62" s="161" customFormat="1" ht="15.75">
      <c r="A48" s="653" t="s">
        <v>291</v>
      </c>
      <c r="B48" s="654">
        <f>(C10*(1+Parameters!$C$99))+C11</f>
        <v>127.85000000000001</v>
      </c>
      <c r="C48" s="654">
        <f>IF(C46&lt;=Parameters!$C$23,$B$48/Parameters!$C$23,0)</f>
        <v>42.61666666666667</v>
      </c>
      <c r="D48" s="654">
        <f>IF(D46&lt;=Parameters!$C$23,$B$48/Parameters!$C$23,0)</f>
        <v>42.61666666666667</v>
      </c>
      <c r="E48" s="654">
        <f>IF(E46&lt;=Parameters!$C$23,$B$48/Parameters!$C$23,0)</f>
        <v>42.61666666666667</v>
      </c>
      <c r="F48" s="654">
        <f>IF(F46&lt;=Parameters!$C$23,$B$48/Parameters!$C$23,0)</f>
        <v>0</v>
      </c>
      <c r="G48" s="654">
        <f>IF(G46&lt;=Parameters!$C$23,$B$48/Parameters!$C$23,0)</f>
        <v>0</v>
      </c>
      <c r="H48" s="654">
        <f>IF(H46&lt;=Parameters!$C$23,$B$48/Parameters!$C$23,0)</f>
        <v>0</v>
      </c>
      <c r="I48" s="654">
        <f>IF(I46&lt;=Parameters!$C$23,$B$48/Parameters!$C$23,0)</f>
        <v>0</v>
      </c>
      <c r="J48" s="654">
        <f>IF(J46&lt;=Parameters!$C$23,$B$48/Parameters!$C$23,0)</f>
        <v>0</v>
      </c>
      <c r="K48" s="654">
        <f>IF(K46&lt;=Parameters!$C$23,$B$48/Parameters!$C$23,0)</f>
        <v>0</v>
      </c>
      <c r="L48" s="654">
        <f>IF(L46&lt;=Parameters!$C$23,$B$48/Parameters!$C$23,0)</f>
        <v>0</v>
      </c>
      <c r="M48" s="654">
        <f>IF(M46&lt;=Parameters!$C$23,$B$48/Parameters!$C$23,0)</f>
        <v>0</v>
      </c>
      <c r="N48" s="654">
        <f>IF(N46&lt;=Parameters!$C$23,$B$48/Parameters!$C$23,0)</f>
        <v>0</v>
      </c>
      <c r="O48" s="654">
        <f>IF(O46&lt;=Parameters!$C$23,$B$48/Parameters!$C$23,0)</f>
        <v>0</v>
      </c>
      <c r="P48" s="654">
        <f>IF(P46&lt;=Parameters!$C$23,$B$48/Parameters!$C$23,0)</f>
        <v>0</v>
      </c>
      <c r="Q48" s="654">
        <f>IF(Q46&lt;=Parameters!$C$23,$B$48/Parameters!$C$23,0)</f>
        <v>0</v>
      </c>
      <c r="R48" s="654">
        <f>IF(R46&lt;=Parameters!$C$23,$B$48/Parameters!$C$23,0)</f>
        <v>0</v>
      </c>
      <c r="S48" s="654">
        <f>IF(S46&lt;=Parameters!$C$23,$B$48/Parameters!$C$23,0)</f>
        <v>0</v>
      </c>
      <c r="T48" s="654">
        <f>IF(T46&lt;=Parameters!$C$23,$B$48/Parameters!$C$23,0)</f>
        <v>0</v>
      </c>
      <c r="U48" s="654">
        <f>IF(U46&lt;=Parameters!$C$23,$B$48/Parameters!$C$23,0)</f>
        <v>0</v>
      </c>
      <c r="V48" s="654">
        <f>IF(V46&lt;=Parameters!$C$23,$B$48/Parameters!$C$23,0)</f>
        <v>0</v>
      </c>
      <c r="W48" s="654">
        <f>IF(W46&lt;=Parameters!$C$23,$B$48/Parameters!$C$23,0)</f>
        <v>0</v>
      </c>
      <c r="X48" s="654">
        <f>IF(X46&lt;=Parameters!$C$23,$B$48/Parameters!$C$23,0)</f>
        <v>0</v>
      </c>
      <c r="Y48" s="654">
        <f>IF(Y46&lt;=Parameters!$C$23,$B$48/Parameters!$C$23,0)</f>
        <v>0</v>
      </c>
      <c r="Z48" s="654">
        <f>IF(Z46&lt;=Parameters!$C$23,$B$48/Parameters!$C$23,0)</f>
        <v>0</v>
      </c>
      <c r="AA48" s="654">
        <f>IF(AA46&lt;=Parameters!$C$23,$B$48/Parameters!$C$23,0)</f>
        <v>0</v>
      </c>
      <c r="AB48" s="654">
        <f>IF(AB46&lt;=Parameters!$C$23,$B$48/Parameters!$C$23,0)</f>
        <v>0</v>
      </c>
      <c r="AC48" s="654">
        <f>IF(AC46&lt;=Parameters!$C$23,$B$48/Parameters!$C$23,0)</f>
        <v>0</v>
      </c>
      <c r="AD48" s="654">
        <f>IF(AD46&lt;=Parameters!$C$23,$B$48/Parameters!$C$23,0)</f>
        <v>0</v>
      </c>
      <c r="AE48" s="654">
        <f>IF(AE46&lt;=Parameters!$C$23,$B$48/Parameters!$C$23,0)</f>
        <v>0</v>
      </c>
      <c r="AF48" s="654">
        <f>IF(AF46&lt;=Parameters!$C$23,$B$48/Parameters!$C$23,0)</f>
        <v>0</v>
      </c>
      <c r="AG48" s="654">
        <f>IF(AG46&lt;=Parameters!$C$23,$B$48/Parameters!$C$23,0)</f>
        <v>0</v>
      </c>
      <c r="AH48" s="654">
        <f>IF(AH46&lt;=Parameters!$C$23,$B$48/Parameters!$C$23,0)</f>
        <v>0</v>
      </c>
      <c r="AI48" s="654">
        <f>IF(AI46&lt;=Parameters!$C$23,$B$48/Parameters!$C$23,0)</f>
        <v>0</v>
      </c>
      <c r="AJ48" s="654">
        <f>IF(AJ46&lt;=Parameters!$C$23,$B$48/Parameters!$C$23,0)</f>
        <v>0</v>
      </c>
      <c r="AK48" s="654">
        <f>IF(AK46&lt;=Parameters!$C$23,$B$48/Parameters!$C$23,0)</f>
        <v>0</v>
      </c>
      <c r="AL48" s="654">
        <f>IF(AL46&lt;=Parameters!$C$23,$B$48/Parameters!$C$23,0)</f>
        <v>0</v>
      </c>
      <c r="AM48" s="654">
        <f>IF(AM46&lt;=Parameters!$C$23,$B$48/Parameters!$C$23,0)</f>
        <v>0</v>
      </c>
      <c r="AN48" s="654">
        <f>IF(AN46&lt;=Parameters!$C$23,$B$48/Parameters!$C$23,0)</f>
        <v>0</v>
      </c>
      <c r="AO48" s="654">
        <f>IF(AO46&lt;=Parameters!$C$23,$B$48/Parameters!$C$23,0)</f>
        <v>0</v>
      </c>
      <c r="AP48" s="654">
        <f>IF(AP46&lt;=Parameters!$C$23,$B$48/Parameters!$C$23,0)</f>
        <v>0</v>
      </c>
      <c r="AQ48" s="654">
        <f>IF(AQ46&lt;=Parameters!$C$23,$B$48/Parameters!$C$23,0)</f>
        <v>0</v>
      </c>
      <c r="AR48" s="654">
        <f>IF(AR46&lt;=Parameters!$C$23,$B$48/Parameters!$C$23,0)</f>
        <v>0</v>
      </c>
      <c r="AS48" s="654">
        <f>IF(AS46&lt;=Parameters!$C$23,$B$48/Parameters!$C$23,0)</f>
        <v>0</v>
      </c>
      <c r="AT48" s="654">
        <f>IF(AT46&lt;=Parameters!$C$23,$B$48/Parameters!$C$23,0)</f>
        <v>0</v>
      </c>
      <c r="AU48" s="654">
        <f>IF(AU46&lt;=Parameters!$C$23,$B$48/Parameters!$C$23,0)</f>
        <v>0</v>
      </c>
      <c r="AV48" s="654">
        <f>IF(AV46&lt;=Parameters!$C$23,$B$48/Parameters!$C$23,0)</f>
        <v>0</v>
      </c>
      <c r="AW48" s="654">
        <f>IF(AW46&lt;=Parameters!$C$23,$B$48/Parameters!$C$23,0)</f>
        <v>0</v>
      </c>
      <c r="AX48" s="654">
        <f>IF(AX46&lt;=Parameters!$C$23,$B$48/Parameters!$C$23,0)</f>
        <v>0</v>
      </c>
      <c r="AY48" s="654">
        <f>IF(AY46&lt;=Parameters!$C$23,$B$48/Parameters!$C$23,0)</f>
        <v>0</v>
      </c>
      <c r="AZ48" s="654">
        <f>IF(AZ46&lt;=Parameters!$C$23,$B$48/Parameters!$C$23,0)</f>
        <v>0</v>
      </c>
      <c r="BA48" s="654">
        <f>IF(BA46&lt;=Parameters!$C$23,$B$48/Parameters!$C$23,0)</f>
        <v>0</v>
      </c>
      <c r="BB48" s="654">
        <f>IF(BB46&lt;=Parameters!$C$23,$B$48/Parameters!$C$23,0)</f>
        <v>0</v>
      </c>
      <c r="BC48" s="654">
        <f>IF(BC46&lt;=Parameters!$C$23,$B$48/Parameters!$C$23,0)</f>
        <v>0</v>
      </c>
      <c r="BD48" s="654">
        <f>IF(BD46&lt;=Parameters!$C$23,$B$48/Parameters!$C$23,0)</f>
        <v>0</v>
      </c>
      <c r="BE48" s="654">
        <f>IF(BE46&lt;=Parameters!$C$23,$B$48/Parameters!$C$23,0)</f>
        <v>0</v>
      </c>
      <c r="BF48" s="654">
        <f>IF(BF46&lt;=Parameters!$C$23,$B$48/Parameters!$C$23,0)</f>
        <v>0</v>
      </c>
      <c r="BG48" s="654">
        <f>IF(BG46&lt;=Parameters!$C$23,$B$48/Parameters!$C$23,0)</f>
        <v>0</v>
      </c>
      <c r="BH48" s="654">
        <f>IF(BH46&lt;=Parameters!$C$23,$B$48/Parameters!$C$23,0)</f>
        <v>0</v>
      </c>
      <c r="BI48" s="654">
        <f>IF(BI46&lt;=Parameters!$C$23,$B$48/Parameters!$C$23,0)</f>
        <v>0</v>
      </c>
      <c r="BJ48" s="654">
        <f>IF(BJ46&lt;=Parameters!$C$23,$B$48/Parameters!$C$23,0)</f>
        <v>0</v>
      </c>
    </row>
    <row r="49" spans="1:62" s="161" customFormat="1" ht="15.75">
      <c r="A49" s="653" t="s">
        <v>287</v>
      </c>
      <c r="B49" s="653">
        <f>SUM(B47:B48)</f>
        <v>127.85000000000001</v>
      </c>
      <c r="C49" s="653">
        <f>SUM(C47:C48)</f>
        <v>42.61666666666667</v>
      </c>
      <c r="D49" s="653">
        <f aca="true" t="shared" si="13" ref="D49:BJ49">SUM(D47:D48)</f>
        <v>42.61666666666667</v>
      </c>
      <c r="E49" s="653">
        <f t="shared" si="13"/>
        <v>42.61666666666667</v>
      </c>
      <c r="F49" s="653">
        <f t="shared" si="13"/>
        <v>0</v>
      </c>
      <c r="G49" s="653">
        <f t="shared" si="13"/>
        <v>0</v>
      </c>
      <c r="H49" s="653">
        <f t="shared" si="13"/>
        <v>0</v>
      </c>
      <c r="I49" s="653">
        <f t="shared" si="13"/>
        <v>0</v>
      </c>
      <c r="J49" s="653">
        <f t="shared" si="13"/>
        <v>0</v>
      </c>
      <c r="K49" s="653">
        <f t="shared" si="13"/>
        <v>0</v>
      </c>
      <c r="L49" s="653">
        <f t="shared" si="13"/>
        <v>0</v>
      </c>
      <c r="M49" s="653">
        <f t="shared" si="13"/>
        <v>0</v>
      </c>
      <c r="N49" s="653">
        <f t="shared" si="13"/>
        <v>0</v>
      </c>
      <c r="O49" s="653">
        <f t="shared" si="13"/>
        <v>0</v>
      </c>
      <c r="P49" s="653">
        <f t="shared" si="13"/>
        <v>0</v>
      </c>
      <c r="Q49" s="653">
        <f t="shared" si="13"/>
        <v>0</v>
      </c>
      <c r="R49" s="653">
        <f t="shared" si="13"/>
        <v>0</v>
      </c>
      <c r="S49" s="653">
        <f t="shared" si="13"/>
        <v>0</v>
      </c>
      <c r="T49" s="653">
        <f t="shared" si="13"/>
        <v>0</v>
      </c>
      <c r="U49" s="653">
        <f t="shared" si="13"/>
        <v>0</v>
      </c>
      <c r="V49" s="653">
        <f t="shared" si="13"/>
        <v>0</v>
      </c>
      <c r="W49" s="653">
        <f t="shared" si="13"/>
        <v>0</v>
      </c>
      <c r="X49" s="653">
        <f t="shared" si="13"/>
        <v>0</v>
      </c>
      <c r="Y49" s="653">
        <f t="shared" si="13"/>
        <v>0</v>
      </c>
      <c r="Z49" s="653">
        <f t="shared" si="13"/>
        <v>0</v>
      </c>
      <c r="AA49" s="653">
        <f t="shared" si="13"/>
        <v>0</v>
      </c>
      <c r="AB49" s="653">
        <f t="shared" si="13"/>
        <v>0</v>
      </c>
      <c r="AC49" s="653">
        <f t="shared" si="13"/>
        <v>0</v>
      </c>
      <c r="AD49" s="653">
        <f t="shared" si="13"/>
        <v>0</v>
      </c>
      <c r="AE49" s="653">
        <f t="shared" si="13"/>
        <v>0</v>
      </c>
      <c r="AF49" s="653">
        <f t="shared" si="13"/>
        <v>0</v>
      </c>
      <c r="AG49" s="653">
        <f t="shared" si="13"/>
        <v>0</v>
      </c>
      <c r="AH49" s="653">
        <f t="shared" si="13"/>
        <v>0</v>
      </c>
      <c r="AI49" s="653">
        <f t="shared" si="13"/>
        <v>0</v>
      </c>
      <c r="AJ49" s="653">
        <f t="shared" si="13"/>
        <v>0</v>
      </c>
      <c r="AK49" s="653">
        <f t="shared" si="13"/>
        <v>0</v>
      </c>
      <c r="AL49" s="653">
        <f t="shared" si="13"/>
        <v>0</v>
      </c>
      <c r="AM49" s="653">
        <f t="shared" si="13"/>
        <v>0</v>
      </c>
      <c r="AN49" s="653">
        <f t="shared" si="13"/>
        <v>0</v>
      </c>
      <c r="AO49" s="653">
        <f t="shared" si="13"/>
        <v>0</v>
      </c>
      <c r="AP49" s="653">
        <f t="shared" si="13"/>
        <v>0</v>
      </c>
      <c r="AQ49" s="653">
        <f t="shared" si="13"/>
        <v>0</v>
      </c>
      <c r="AR49" s="653">
        <f t="shared" si="13"/>
        <v>0</v>
      </c>
      <c r="AS49" s="653">
        <f t="shared" si="13"/>
        <v>0</v>
      </c>
      <c r="AT49" s="653">
        <f t="shared" si="13"/>
        <v>0</v>
      </c>
      <c r="AU49" s="653">
        <f t="shared" si="13"/>
        <v>0</v>
      </c>
      <c r="AV49" s="653">
        <f t="shared" si="13"/>
        <v>0</v>
      </c>
      <c r="AW49" s="653">
        <f t="shared" si="13"/>
        <v>0</v>
      </c>
      <c r="AX49" s="653">
        <f t="shared" si="13"/>
        <v>0</v>
      </c>
      <c r="AY49" s="653">
        <f t="shared" si="13"/>
        <v>0</v>
      </c>
      <c r="AZ49" s="653">
        <f t="shared" si="13"/>
        <v>0</v>
      </c>
      <c r="BA49" s="653">
        <f t="shared" si="13"/>
        <v>0</v>
      </c>
      <c r="BB49" s="653">
        <f t="shared" si="13"/>
        <v>0</v>
      </c>
      <c r="BC49" s="653">
        <f t="shared" si="13"/>
        <v>0</v>
      </c>
      <c r="BD49" s="653">
        <f t="shared" si="13"/>
        <v>0</v>
      </c>
      <c r="BE49" s="653">
        <f t="shared" si="13"/>
        <v>0</v>
      </c>
      <c r="BF49" s="653">
        <f t="shared" si="13"/>
        <v>0</v>
      </c>
      <c r="BG49" s="653">
        <f t="shared" si="13"/>
        <v>0</v>
      </c>
      <c r="BH49" s="653">
        <f t="shared" si="13"/>
        <v>0</v>
      </c>
      <c r="BI49" s="653">
        <f t="shared" si="13"/>
        <v>0</v>
      </c>
      <c r="BJ49" s="653">
        <f t="shared" si="13"/>
        <v>0</v>
      </c>
    </row>
    <row r="50" s="161" customFormat="1" ht="15.75">
      <c r="C50" s="162"/>
    </row>
    <row r="51" s="161" customFormat="1" ht="15.75">
      <c r="C51" s="162"/>
    </row>
    <row r="52" spans="3:8" ht="12.75">
      <c r="C52" s="408"/>
      <c r="D52" s="408"/>
      <c r="E52" s="408"/>
      <c r="F52" s="408"/>
      <c r="G52" s="408"/>
      <c r="H52" s="408"/>
    </row>
    <row r="53" spans="2:8" ht="12.75">
      <c r="B53" s="409"/>
      <c r="C53" s="408"/>
      <c r="D53" s="408"/>
      <c r="E53" s="408"/>
      <c r="F53" s="408"/>
      <c r="G53" s="408"/>
      <c r="H53" s="408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77" ht="12.75"/>
    <row r="78" ht="12.75"/>
    <row r="79" ht="12.75"/>
    <row r="80" ht="12.75"/>
    <row r="82" ht="12.75"/>
    <row r="98" ht="12.75" hidden="1">
      <c r="D98" s="22">
        <v>11278000</v>
      </c>
    </row>
    <row r="101" ht="12.75"/>
    <row r="104" ht="12.75"/>
    <row r="114" ht="12.75"/>
  </sheetData>
  <sheetProtection password="DAD4" sheet="1"/>
  <mergeCells count="3">
    <mergeCell ref="A4:C4"/>
    <mergeCell ref="A19:C19"/>
    <mergeCell ref="F7:F11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&amp;CPartial Risk Gurantee for Energy Efficiency </oddHeader>
  </headerFooter>
  <ignoredErrors>
    <ignoredError sqref="C15" unlockedFormula="1"/>
    <ignoredError sqref="E38:BJ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N26"/>
  <sheetViews>
    <sheetView zoomScaleSheetLayoutView="100" workbookViewId="0" topLeftCell="A1">
      <selection activeCell="D20" sqref="D20"/>
    </sheetView>
  </sheetViews>
  <sheetFormatPr defaultColWidth="0" defaultRowHeight="12.75" zeroHeight="1"/>
  <cols>
    <col min="1" max="1" width="0.71875" style="269" customWidth="1"/>
    <col min="2" max="2" width="33.140625" style="269" customWidth="1"/>
    <col min="3" max="3" width="23.28125" style="269" bestFit="1" customWidth="1"/>
    <col min="4" max="8" width="12.140625" style="283" customWidth="1"/>
    <col min="9" max="13" width="9.421875" style="283" customWidth="1"/>
    <col min="14" max="14" width="0.85546875" style="269" customWidth="1"/>
    <col min="15" max="16384" width="9.140625" style="269" hidden="1" customWidth="1"/>
  </cols>
  <sheetData>
    <row r="1" ht="12.75">
      <c r="E1" s="269"/>
    </row>
    <row r="2" ht="12.75"/>
    <row r="3" spans="1:13" ht="12.75">
      <c r="A3" s="415" t="str">
        <f>Parameters!$C$3</f>
        <v>Darashaw &amp; Co.</v>
      </c>
      <c r="B3" s="416"/>
      <c r="C3" s="417"/>
      <c r="D3" s="418"/>
      <c r="E3" s="418"/>
      <c r="F3" s="418"/>
      <c r="G3" s="418"/>
      <c r="H3" s="418"/>
      <c r="I3" s="418"/>
      <c r="J3" s="418"/>
      <c r="K3" s="418"/>
      <c r="L3" s="418"/>
      <c r="M3" s="419"/>
    </row>
    <row r="4" spans="1:13" ht="12.75">
      <c r="A4" s="420" t="str">
        <f>Parameters!$C$4</f>
        <v>Shirdi Nagar Panchyat Street Light</v>
      </c>
      <c r="B4" s="23"/>
      <c r="C4" s="23"/>
      <c r="D4" s="186"/>
      <c r="E4" s="186"/>
      <c r="F4" s="186"/>
      <c r="G4" s="186"/>
      <c r="H4" s="186"/>
      <c r="I4" s="186"/>
      <c r="J4" s="186"/>
      <c r="K4" s="186"/>
      <c r="L4" s="186"/>
      <c r="M4" s="421"/>
    </row>
    <row r="5" spans="1:13" ht="12.75">
      <c r="A5" s="420"/>
      <c r="B5" s="23"/>
      <c r="C5" s="23"/>
      <c r="D5" s="186"/>
      <c r="E5" s="186"/>
      <c r="F5" s="186"/>
      <c r="G5" s="186"/>
      <c r="H5" s="186"/>
      <c r="I5" s="186"/>
      <c r="J5" s="186"/>
      <c r="K5" s="186"/>
      <c r="L5" s="186"/>
      <c r="M5" s="421"/>
    </row>
    <row r="6" spans="1:13" ht="12.75">
      <c r="A6" s="422" t="s">
        <v>21</v>
      </c>
      <c r="B6" s="25" t="s">
        <v>221</v>
      </c>
      <c r="C6" s="23"/>
      <c r="D6" s="186"/>
      <c r="E6" s="186"/>
      <c r="F6" s="186"/>
      <c r="G6" s="186"/>
      <c r="H6" s="186"/>
      <c r="I6" s="186"/>
      <c r="J6" s="306"/>
      <c r="K6" s="306"/>
      <c r="L6" s="306"/>
      <c r="M6" s="423"/>
    </row>
    <row r="7" spans="1:13" ht="12.75">
      <c r="A7" s="194"/>
      <c r="B7" s="194" t="s">
        <v>11</v>
      </c>
      <c r="C7" s="206" t="s">
        <v>257</v>
      </c>
      <c r="D7" s="313">
        <v>1</v>
      </c>
      <c r="E7" s="313">
        <v>2</v>
      </c>
      <c r="F7" s="313">
        <v>3</v>
      </c>
      <c r="G7" s="313">
        <v>4</v>
      </c>
      <c r="H7" s="313">
        <v>5</v>
      </c>
      <c r="I7" s="313">
        <v>6</v>
      </c>
      <c r="J7" s="313">
        <v>7</v>
      </c>
      <c r="K7" s="313">
        <v>8</v>
      </c>
      <c r="L7" s="313">
        <v>9</v>
      </c>
      <c r="M7" s="313">
        <v>10</v>
      </c>
    </row>
    <row r="8" spans="1:14" ht="12.75">
      <c r="A8" s="192"/>
      <c r="B8" s="192" t="s">
        <v>354</v>
      </c>
      <c r="C8" s="307" t="s">
        <v>256</v>
      </c>
      <c r="D8" s="213">
        <f>IF(Parameters!$D$23&lt;=1,(1-Parameters!$D$23)*Parameters!$C$29,0)</f>
        <v>397.232055</v>
      </c>
      <c r="E8" s="213">
        <f>IF(E7&lt;=Parameters!$C$118,IF(AND(Parameters!$D$23&gt;D7,Parameters!$D$23&lt;=E7),(Parameters!B24)*D11,IF(Parameters!$D$23&lt;=D7,D11,0)),0)</f>
        <v>529.64274</v>
      </c>
      <c r="F8" s="213">
        <f>IF(F7&lt;=Parameters!$C$118,IF(AND(Parameters!$D$23&gt;E7,Parameters!$D$23&lt;=F7),(Parameters!C24)*E11,IF(Parameters!$D$23&lt;=E7,E11,0)),0)</f>
        <v>529.64274</v>
      </c>
      <c r="G8" s="213">
        <f>IF(G7&lt;=Parameters!$C$118,IF(AND(Parameters!$D$23&gt;F7,Parameters!$D$23&lt;=G7),(Parameters!D24)*F11,IF(Parameters!$D$23&lt;=F7,F11,0)),0)</f>
        <v>529.64274</v>
      </c>
      <c r="H8" s="213">
        <f>IF(H7&lt;=Parameters!$C$118,IF(AND(Parameters!$D$23&gt;G7,Parameters!$D$23&lt;=H7),(Parameters!E24)*G11,IF(Parameters!$D$23&lt;=G7,G11,0)),0)</f>
        <v>529.64274</v>
      </c>
      <c r="I8" s="213">
        <f>IF(I7&lt;=Parameters!$C$118,IF(AND(Parameters!$D$23&gt;H7,Parameters!$D$23&lt;=I7),(Parameters!F24)*H11,IF(Parameters!$D$23&lt;=H7,H11,0)),0)</f>
        <v>529.64274</v>
      </c>
      <c r="J8" s="213">
        <f>IF(J7&lt;=Parameters!$C$118,IF(AND(Parameters!$D$23&gt;I7,Parameters!$D$23&lt;=J7),(Parameters!G24)*I11,IF(Parameters!$D$23&lt;=I7,I11,0)),0)</f>
        <v>529.64274</v>
      </c>
      <c r="K8" s="213">
        <f>IF(K7&lt;=Parameters!$C$118,IF(AND(Parameters!$D$23&gt;J7,Parameters!$D$23&lt;=K7),(Parameters!H24)*J11,IF(Parameters!$D$23&lt;=J7,J11,0)),0)</f>
        <v>529.64274</v>
      </c>
      <c r="L8" s="213">
        <f>IF(L7&lt;=Parameters!$C$118,IF(AND(Parameters!$D$23&gt;K7,Parameters!$D$23&lt;=L7),(Parameters!I24)*K11,IF(Parameters!$D$23&lt;=K7,K11,0)),0)</f>
        <v>529.64274</v>
      </c>
      <c r="M8" s="213">
        <f>IF(M7&lt;=Parameters!$C$118,IF(AND(Parameters!$D$23&gt;L7,Parameters!$D$23&lt;=M7),(Parameters!J24)*L11,IF(Parameters!$D$23&lt;=L7,L11,0)),0)</f>
        <v>529.64274</v>
      </c>
      <c r="N8" s="414"/>
    </row>
    <row r="9" spans="1:14" ht="12.75">
      <c r="A9" s="192"/>
      <c r="B9" s="411" t="s">
        <v>233</v>
      </c>
      <c r="C9" s="412" t="s">
        <v>258</v>
      </c>
      <c r="D9" s="432">
        <f>IF(D7&gt;(Parameters!D23+1),(D10*Parameters!$C$30),0)</f>
        <v>0</v>
      </c>
      <c r="E9" s="432">
        <f>IF(E$7&gt;(Parameters!$D$23+1),(E$8*Parameters!$C$30),0)</f>
        <v>0</v>
      </c>
      <c r="F9" s="432">
        <f>IF(F$7&gt;(Parameters!$D$23+1),(F$8*Parameters!$C$30),0)</f>
        <v>0</v>
      </c>
      <c r="G9" s="432">
        <f>IF(G$7&gt;(Parameters!$D$23+1),(G$8*Parameters!$C$30),0)</f>
        <v>0</v>
      </c>
      <c r="H9" s="432">
        <f>IF(H$7&gt;(Parameters!$D$23+1),(H$8*Parameters!$C$30),0)</f>
        <v>0</v>
      </c>
      <c r="I9" s="432">
        <f>IF(I$7&gt;(Parameters!$D$23+1),(I$8*Parameters!$C$30),0)</f>
        <v>0</v>
      </c>
      <c r="J9" s="432">
        <f>IF(J$7&gt;(Parameters!$D$23+1),(J$8*Parameters!$C$30),0)</f>
        <v>0</v>
      </c>
      <c r="K9" s="432">
        <f>IF(K$7&gt;(Parameters!$D$23+1),(K$8*Parameters!$C$30),0)</f>
        <v>0</v>
      </c>
      <c r="L9" s="432">
        <f>IF(L$7&gt;(Parameters!$D$23+1),(L$8*Parameters!$C$30),0)</f>
        <v>0</v>
      </c>
      <c r="M9" s="432">
        <f>IF(M$7&gt;(Parameters!$D$23+1),(M$8*Parameters!$C$30),0)</f>
        <v>0</v>
      </c>
      <c r="N9" s="414"/>
    </row>
    <row r="10" spans="1:14" ht="12.75">
      <c r="A10" s="192"/>
      <c r="B10" s="312" t="s">
        <v>238</v>
      </c>
      <c r="C10" s="307"/>
      <c r="D10" s="213">
        <f>Parameters!C29</f>
        <v>529.64274</v>
      </c>
      <c r="E10" s="213">
        <f>D11</f>
        <v>529.64274</v>
      </c>
      <c r="F10" s="213">
        <f>E11</f>
        <v>529.64274</v>
      </c>
      <c r="G10" s="213">
        <f aca="true" t="shared" si="0" ref="G10:M10">F11</f>
        <v>529.64274</v>
      </c>
      <c r="H10" s="213">
        <f t="shared" si="0"/>
        <v>529.64274</v>
      </c>
      <c r="I10" s="213">
        <f t="shared" si="0"/>
        <v>529.64274</v>
      </c>
      <c r="J10" s="213">
        <f t="shared" si="0"/>
        <v>529.64274</v>
      </c>
      <c r="K10" s="213">
        <f t="shared" si="0"/>
        <v>529.64274</v>
      </c>
      <c r="L10" s="213">
        <f t="shared" si="0"/>
        <v>529.64274</v>
      </c>
      <c r="M10" s="213">
        <f t="shared" si="0"/>
        <v>529.64274</v>
      </c>
      <c r="N10" s="414"/>
    </row>
    <row r="11" spans="1:13" ht="12.75">
      <c r="A11" s="192"/>
      <c r="B11" s="192" t="s">
        <v>360</v>
      </c>
      <c r="C11" s="307" t="s">
        <v>256</v>
      </c>
      <c r="D11" s="308">
        <f>IF(D7&lt;=Parameters!$C$118,D10-D9,0)</f>
        <v>529.64274</v>
      </c>
      <c r="E11" s="308">
        <f>IF(E7&lt;=Parameters!$C$118,E10-E9,0)</f>
        <v>529.64274</v>
      </c>
      <c r="F11" s="308">
        <f>IF(F7&lt;=Parameters!$C$118,F10-F9,0)</f>
        <v>529.64274</v>
      </c>
      <c r="G11" s="308">
        <f>IF(G7&lt;=Parameters!$C$118,G10-G9,0)</f>
        <v>529.64274</v>
      </c>
      <c r="H11" s="308">
        <f>IF(H7&lt;=Parameters!$C$118,H10-H9,0)</f>
        <v>529.64274</v>
      </c>
      <c r="I11" s="308">
        <f>IF(I7&lt;=Parameters!$C$118,I10-I9,0)</f>
        <v>529.64274</v>
      </c>
      <c r="J11" s="308">
        <f>IF(J7&lt;=Parameters!$C$118,J10-J9,0)</f>
        <v>529.64274</v>
      </c>
      <c r="K11" s="308">
        <f>IF(K7&lt;=Parameters!$C$118,K10-K9,0)</f>
        <v>529.64274</v>
      </c>
      <c r="L11" s="308">
        <f>IF(L7&lt;=Parameters!$C$118,L10-L9,0)</f>
        <v>529.64274</v>
      </c>
      <c r="M11" s="308">
        <f>IF(M7&lt;=Parameters!$C$118,M10-M9,0)</f>
        <v>529.64274</v>
      </c>
    </row>
    <row r="12" spans="1:13" ht="12.75">
      <c r="A12" s="192"/>
      <c r="B12" s="411" t="s">
        <v>355</v>
      </c>
      <c r="C12" s="412" t="s">
        <v>256</v>
      </c>
      <c r="D12" s="413">
        <f>D11*Parameters!$C$120</f>
        <v>52.964274</v>
      </c>
      <c r="E12" s="413">
        <f>E11*Parameters!$C$120</f>
        <v>52.964274</v>
      </c>
      <c r="F12" s="413">
        <f>F11*Parameters!$C$120</f>
        <v>52.964274</v>
      </c>
      <c r="G12" s="413">
        <f>G11*Parameters!$C$120</f>
        <v>52.964274</v>
      </c>
      <c r="H12" s="413">
        <f>H11*Parameters!$C$120</f>
        <v>52.964274</v>
      </c>
      <c r="I12" s="413">
        <f>I11*Parameters!$C$120</f>
        <v>52.964274</v>
      </c>
      <c r="J12" s="413">
        <f>J11*Parameters!$C$120</f>
        <v>52.964274</v>
      </c>
      <c r="K12" s="413">
        <f>K11*Parameters!$C$120</f>
        <v>52.964274</v>
      </c>
      <c r="L12" s="413">
        <f>L11*Parameters!$C$120</f>
        <v>52.964274</v>
      </c>
      <c r="M12" s="413">
        <f>M11*Parameters!$C$120</f>
        <v>52.964274</v>
      </c>
    </row>
    <row r="13" spans="1:13" ht="12.75">
      <c r="A13" s="192"/>
      <c r="B13" s="411" t="s">
        <v>356</v>
      </c>
      <c r="C13" s="412" t="s">
        <v>256</v>
      </c>
      <c r="D13" s="413">
        <f>D11-D12</f>
        <v>476.678466</v>
      </c>
      <c r="E13" s="413">
        <f aca="true" t="shared" si="1" ref="E13:M13">E11-E12</f>
        <v>476.678466</v>
      </c>
      <c r="F13" s="413">
        <f t="shared" si="1"/>
        <v>476.678466</v>
      </c>
      <c r="G13" s="413">
        <f t="shared" si="1"/>
        <v>476.678466</v>
      </c>
      <c r="H13" s="413">
        <f t="shared" si="1"/>
        <v>476.678466</v>
      </c>
      <c r="I13" s="413">
        <f t="shared" si="1"/>
        <v>476.678466</v>
      </c>
      <c r="J13" s="413">
        <f t="shared" si="1"/>
        <v>476.678466</v>
      </c>
      <c r="K13" s="413">
        <f t="shared" si="1"/>
        <v>476.678466</v>
      </c>
      <c r="L13" s="413">
        <f t="shared" si="1"/>
        <v>476.678466</v>
      </c>
      <c r="M13" s="413">
        <f t="shared" si="1"/>
        <v>476.678466</v>
      </c>
    </row>
    <row r="14" spans="1:13" ht="12.75">
      <c r="A14" s="192"/>
      <c r="B14" s="192" t="s">
        <v>447</v>
      </c>
      <c r="C14" s="307"/>
      <c r="D14" s="308">
        <f>30*(1-Parameters!C120)</f>
        <v>27</v>
      </c>
      <c r="E14" s="308">
        <f>D14*1.1</f>
        <v>29.700000000000003</v>
      </c>
      <c r="F14" s="308">
        <f aca="true" t="shared" si="2" ref="F14:M14">E14*1.1</f>
        <v>32.67000000000001</v>
      </c>
      <c r="G14" s="308">
        <f t="shared" si="2"/>
        <v>35.93700000000001</v>
      </c>
      <c r="H14" s="308">
        <f t="shared" si="2"/>
        <v>39.53070000000002</v>
      </c>
      <c r="I14" s="308">
        <f t="shared" si="2"/>
        <v>43.48377000000002</v>
      </c>
      <c r="J14" s="308">
        <f t="shared" si="2"/>
        <v>47.83214700000003</v>
      </c>
      <c r="K14" s="308">
        <f t="shared" si="2"/>
        <v>52.61536170000004</v>
      </c>
      <c r="L14" s="308">
        <f t="shared" si="2"/>
        <v>57.87689787000004</v>
      </c>
      <c r="M14" s="308">
        <f t="shared" si="2"/>
        <v>63.664587657000055</v>
      </c>
    </row>
    <row r="15" spans="1:13" ht="12.75">
      <c r="A15" s="192"/>
      <c r="B15" s="312" t="s">
        <v>236</v>
      </c>
      <c r="C15" s="307" t="s">
        <v>259</v>
      </c>
      <c r="D15" s="309">
        <f>Sensitivity!D9</f>
        <v>4.92</v>
      </c>
      <c r="E15" s="309">
        <f>Sensitivity!E9</f>
        <v>5.0676</v>
      </c>
      <c r="F15" s="309">
        <f>Sensitivity!F9</f>
        <v>5.219628</v>
      </c>
      <c r="G15" s="309">
        <f>Sensitivity!G9</f>
        <v>5.3762168400000006</v>
      </c>
      <c r="H15" s="309">
        <f>Sensitivity!H9</f>
        <v>5.537503345200001</v>
      </c>
      <c r="I15" s="309">
        <f>Sensitivity!I9</f>
        <v>5.703628445556001</v>
      </c>
      <c r="J15" s="309">
        <f>Sensitivity!J9</f>
        <v>5.874737298922681</v>
      </c>
      <c r="K15" s="309">
        <f>Sensitivity!K9</f>
        <v>6.050979417890361</v>
      </c>
      <c r="L15" s="309">
        <f>Sensitivity!L9</f>
        <v>6.232508800427072</v>
      </c>
      <c r="M15" s="309">
        <f>Sensitivity!M9</f>
        <v>6.419484064439884</v>
      </c>
    </row>
    <row r="16" spans="1:13" ht="12.75">
      <c r="A16" s="192"/>
      <c r="B16" s="192" t="s">
        <v>361</v>
      </c>
      <c r="C16" s="307" t="s">
        <v>256</v>
      </c>
      <c r="D16" s="308">
        <f>IF(D7&lt;=Parameters!$C$118,D13,0)</f>
        <v>476.678466</v>
      </c>
      <c r="E16" s="308">
        <f>IF(E7&lt;=Parameters!$C$118,E13,0)</f>
        <v>476.678466</v>
      </c>
      <c r="F16" s="308">
        <f>IF(F7&lt;=Parameters!$C$118,F13,0)</f>
        <v>476.678466</v>
      </c>
      <c r="G16" s="308">
        <f>IF(G7&lt;=Parameters!$C$118,G13,0)</f>
        <v>476.678466</v>
      </c>
      <c r="H16" s="308">
        <f>IF(H7&lt;=Parameters!$C$118,H13,0)</f>
        <v>476.678466</v>
      </c>
      <c r="I16" s="308">
        <f>IF(I7&lt;=Parameters!$C$118,I13,0)</f>
        <v>476.678466</v>
      </c>
      <c r="J16" s="308">
        <f>IF(J7&lt;=Parameters!$C$118,J13,0)</f>
        <v>476.678466</v>
      </c>
      <c r="K16" s="308">
        <f>IF(K7&lt;=Parameters!$C$118,K13,0)</f>
        <v>476.678466</v>
      </c>
      <c r="L16" s="308">
        <f>IF(L7&lt;=Parameters!$C$118,L13,0)</f>
        <v>476.678466</v>
      </c>
      <c r="M16" s="308">
        <f>IF(M7&lt;=Parameters!$C$118,M13,0)</f>
        <v>476.678466</v>
      </c>
    </row>
    <row r="17" spans="1:13" ht="25.5">
      <c r="A17" s="192"/>
      <c r="B17" s="484" t="s">
        <v>446</v>
      </c>
      <c r="C17" s="192" t="str">
        <f>CONCATENATE(Parameters!C11," ",Parameters!C12)</f>
        <v>INR Lacs</v>
      </c>
      <c r="D17" s="222">
        <f>(D16*D15*1000)/10^5+D14</f>
        <v>50.4525805272</v>
      </c>
      <c r="E17" s="222">
        <f aca="true" t="shared" si="3" ref="E17:M17">(E16*E15*1000)/10^5+E14</f>
        <v>53.856157943016</v>
      </c>
      <c r="F17" s="222">
        <f t="shared" si="3"/>
        <v>57.55084268130649</v>
      </c>
      <c r="G17" s="222">
        <f t="shared" si="3"/>
        <v>61.564267961745685</v>
      </c>
      <c r="H17" s="222">
        <f t="shared" si="3"/>
        <v>65.92678600059807</v>
      </c>
      <c r="I17" s="222">
        <f t="shared" si="3"/>
        <v>70.67173858061602</v>
      </c>
      <c r="J17" s="222">
        <f t="shared" si="3"/>
        <v>75.8357546380345</v>
      </c>
      <c r="K17" s="222">
        <f t="shared" si="3"/>
        <v>81.45907756717554</v>
      </c>
      <c r="L17" s="222">
        <f t="shared" si="3"/>
        <v>87.58592521319082</v>
      </c>
      <c r="M17" s="222">
        <f t="shared" si="3"/>
        <v>94.26488582048654</v>
      </c>
    </row>
    <row r="18" spans="1:13" ht="41.25" customHeight="1">
      <c r="A18" s="424"/>
      <c r="B18" s="379" t="s">
        <v>445</v>
      </c>
      <c r="C18" s="192" t="str">
        <f>CONCATENATE(Parameters!C11," ",Parameters!C12)</f>
        <v>INR Lacs</v>
      </c>
      <c r="D18" s="222">
        <f>(D16*$D$15*1000)/10^5+D14</f>
        <v>50.4525805272</v>
      </c>
      <c r="E18" s="222">
        <f aca="true" t="shared" si="4" ref="E18:M18">(E16*$D$15*1000)/10^5+E14</f>
        <v>53.1525805272</v>
      </c>
      <c r="F18" s="222">
        <f t="shared" si="4"/>
        <v>56.122580527200014</v>
      </c>
      <c r="G18" s="222">
        <f t="shared" si="4"/>
        <v>59.38958052720001</v>
      </c>
      <c r="H18" s="222">
        <f t="shared" si="4"/>
        <v>62.98328052720002</v>
      </c>
      <c r="I18" s="222">
        <f t="shared" si="4"/>
        <v>66.93635052720002</v>
      </c>
      <c r="J18" s="222">
        <f t="shared" si="4"/>
        <v>71.28472752720003</v>
      </c>
      <c r="K18" s="222">
        <f t="shared" si="4"/>
        <v>76.06794222720004</v>
      </c>
      <c r="L18" s="222">
        <f t="shared" si="4"/>
        <v>81.32947839720005</v>
      </c>
      <c r="M18" s="222">
        <f t="shared" si="4"/>
        <v>87.11716818420005</v>
      </c>
    </row>
    <row r="19" spans="1:13" ht="12.75">
      <c r="A19" s="425"/>
      <c r="B19" s="23"/>
      <c r="C19" s="23"/>
      <c r="D19" s="270"/>
      <c r="E19" s="270"/>
      <c r="F19" s="270"/>
      <c r="G19" s="270"/>
      <c r="H19" s="270"/>
      <c r="I19" s="270"/>
      <c r="J19" s="270"/>
      <c r="K19" s="270"/>
      <c r="L19" s="270"/>
      <c r="M19" s="426"/>
    </row>
    <row r="20" spans="1:13" ht="12.75">
      <c r="A20" s="425"/>
      <c r="B20" s="23"/>
      <c r="C20" s="23"/>
      <c r="D20" s="310"/>
      <c r="E20" s="310"/>
      <c r="F20" s="310"/>
      <c r="G20" s="310"/>
      <c r="H20" s="310"/>
      <c r="I20" s="310"/>
      <c r="J20" s="310"/>
      <c r="K20" s="310"/>
      <c r="L20" s="310"/>
      <c r="M20" s="427"/>
    </row>
    <row r="21" spans="1:13" ht="12.75">
      <c r="A21" s="425"/>
      <c r="B21" s="23"/>
      <c r="C21" s="23"/>
      <c r="D21" s="270"/>
      <c r="E21" s="311"/>
      <c r="F21" s="270"/>
      <c r="G21" s="270"/>
      <c r="H21" s="270"/>
      <c r="I21" s="270"/>
      <c r="J21" s="270"/>
      <c r="K21" s="270"/>
      <c r="L21" s="270"/>
      <c r="M21" s="426"/>
    </row>
    <row r="22" spans="1:13" ht="12.75">
      <c r="A22" s="425"/>
      <c r="B22" s="312"/>
      <c r="C22" s="312"/>
      <c r="D22" s="270"/>
      <c r="E22" s="270"/>
      <c r="F22" s="270"/>
      <c r="G22" s="270"/>
      <c r="H22" s="270"/>
      <c r="I22" s="270"/>
      <c r="J22" s="270"/>
      <c r="K22" s="270"/>
      <c r="L22" s="270"/>
      <c r="M22" s="426"/>
    </row>
    <row r="23" spans="1:13" ht="12.75">
      <c r="A23" s="425"/>
      <c r="B23" s="312"/>
      <c r="C23" s="312"/>
      <c r="D23" s="270"/>
      <c r="E23" s="270"/>
      <c r="F23" s="270"/>
      <c r="G23" s="270"/>
      <c r="H23" s="270"/>
      <c r="I23" s="270"/>
      <c r="J23" s="270"/>
      <c r="K23" s="270"/>
      <c r="L23" s="270"/>
      <c r="M23" s="426"/>
    </row>
    <row r="24" spans="1:13" ht="12.75">
      <c r="A24" s="425"/>
      <c r="B24" s="312"/>
      <c r="C24" s="312"/>
      <c r="D24" s="270"/>
      <c r="E24" s="270"/>
      <c r="F24" s="270"/>
      <c r="G24" s="270"/>
      <c r="H24" s="270"/>
      <c r="I24" s="270"/>
      <c r="J24" s="270"/>
      <c r="K24" s="270"/>
      <c r="L24" s="270"/>
      <c r="M24" s="426"/>
    </row>
    <row r="25" spans="1:13" ht="12.75">
      <c r="A25" s="425"/>
      <c r="B25" s="312"/>
      <c r="C25" s="312"/>
      <c r="D25" s="270"/>
      <c r="E25" s="270"/>
      <c r="F25" s="270"/>
      <c r="G25" s="270"/>
      <c r="H25" s="270"/>
      <c r="I25" s="270"/>
      <c r="J25" s="270"/>
      <c r="K25" s="270"/>
      <c r="L25" s="270"/>
      <c r="M25" s="426"/>
    </row>
    <row r="26" spans="1:13" ht="12.75">
      <c r="A26" s="428"/>
      <c r="B26" s="429"/>
      <c r="C26" s="429"/>
      <c r="D26" s="430"/>
      <c r="E26" s="430"/>
      <c r="F26" s="430"/>
      <c r="G26" s="430"/>
      <c r="H26" s="430"/>
      <c r="I26" s="430"/>
      <c r="J26" s="430"/>
      <c r="K26" s="430"/>
      <c r="L26" s="430"/>
      <c r="M26" s="431"/>
    </row>
    <row r="27" ht="3" customHeight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 password="DAD4" sheet="1"/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M60"/>
  <sheetViews>
    <sheetView workbookViewId="0" topLeftCell="A1">
      <selection activeCell="C58" sqref="C58"/>
    </sheetView>
  </sheetViews>
  <sheetFormatPr defaultColWidth="0" defaultRowHeight="12.75" zeroHeight="1"/>
  <cols>
    <col min="1" max="1" width="7.140625" style="22" customWidth="1"/>
    <col min="2" max="2" width="41.140625" style="22" bestFit="1" customWidth="1"/>
    <col min="3" max="3" width="9.8515625" style="208" bestFit="1" customWidth="1"/>
    <col min="4" max="12" width="12.7109375" style="208" customWidth="1"/>
    <col min="13" max="13" width="0.85546875" style="22" customWidth="1"/>
    <col min="14" max="15" width="10.7109375" style="22" hidden="1" customWidth="1"/>
    <col min="16" max="16384" width="9.140625" style="22" hidden="1" customWidth="1"/>
  </cols>
  <sheetData>
    <row r="1" spans="1:12" ht="12.75">
      <c r="A1" s="251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ht="12.75">
      <c r="A2" s="252"/>
      <c r="B2" s="23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12.75">
      <c r="A3" s="188"/>
      <c r="B3" s="23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2" ht="12.75">
      <c r="A4" s="210" t="s">
        <v>108</v>
      </c>
      <c r="B4" s="23"/>
      <c r="C4" s="186"/>
      <c r="D4" s="186"/>
      <c r="E4" s="186"/>
      <c r="F4" s="186"/>
      <c r="G4" s="186"/>
      <c r="H4" s="189" t="str">
        <f>'P&amp;L'!H4</f>
        <v>Amt in</v>
      </c>
      <c r="I4" s="287" t="str">
        <f>CONCATENATE(Parameters!C11," ",Parameters!C12)</f>
        <v>INR Lacs</v>
      </c>
      <c r="J4" s="287"/>
      <c r="K4" s="287"/>
      <c r="L4" s="187"/>
    </row>
    <row r="5" spans="1:12" s="289" customFormat="1" ht="12.75">
      <c r="A5" s="177" t="s">
        <v>96</v>
      </c>
      <c r="B5" s="194" t="s">
        <v>42</v>
      </c>
      <c r="C5" s="171">
        <v>1</v>
      </c>
      <c r="D5" s="171">
        <f>Saving!E7</f>
        <v>2</v>
      </c>
      <c r="E5" s="171">
        <f>Saving!F7</f>
        <v>3</v>
      </c>
      <c r="F5" s="171">
        <f>Saving!G7</f>
        <v>4</v>
      </c>
      <c r="G5" s="171">
        <f>Saving!H7</f>
        <v>5</v>
      </c>
      <c r="H5" s="171">
        <f>Saving!I7</f>
        <v>6</v>
      </c>
      <c r="I5" s="171">
        <f>Saving!J7</f>
        <v>7</v>
      </c>
      <c r="J5" s="171">
        <f>Saving!K7</f>
        <v>8</v>
      </c>
      <c r="K5" s="171">
        <f>Saving!L7</f>
        <v>9</v>
      </c>
      <c r="L5" s="171">
        <f>Saving!M7</f>
        <v>10</v>
      </c>
    </row>
    <row r="6" spans="1:12" s="289" customFormat="1" ht="12.75">
      <c r="A6" s="193" t="s">
        <v>17</v>
      </c>
      <c r="B6" s="194" t="s">
        <v>109</v>
      </c>
      <c r="C6" s="200"/>
      <c r="D6" s="200"/>
      <c r="E6" s="200"/>
      <c r="F6" s="200"/>
      <c r="G6" s="200"/>
      <c r="H6" s="200"/>
      <c r="I6" s="200"/>
      <c r="J6" s="200"/>
      <c r="K6" s="200"/>
      <c r="L6" s="290"/>
    </row>
    <row r="7" spans="1:12" ht="12.75">
      <c r="A7" s="176">
        <v>1</v>
      </c>
      <c r="B7" s="205" t="str">
        <f>Parameters!B50</f>
        <v>Plant Staff</v>
      </c>
      <c r="C7" s="195"/>
      <c r="D7" s="195"/>
      <c r="E7" s="195"/>
      <c r="F7" s="195"/>
      <c r="G7" s="195"/>
      <c r="H7" s="195"/>
      <c r="I7" s="195"/>
      <c r="J7" s="195"/>
      <c r="K7" s="195"/>
      <c r="L7" s="291"/>
    </row>
    <row r="8" spans="1:12" ht="12.75">
      <c r="A8" s="176"/>
      <c r="B8" s="192">
        <f>Parameters!B51</f>
        <v>0</v>
      </c>
      <c r="C8" s="196">
        <f>(Parameters!C51*Parameters!D51*12)/10^5</f>
        <v>0</v>
      </c>
      <c r="D8" s="196">
        <f>IF(D$5&lt;=Parameters!$C$118,C8+(C8*Parameters!$E51),0)</f>
        <v>0</v>
      </c>
      <c r="E8" s="196">
        <f>IF(E$5&lt;=Parameters!$C$118,D8+(D8*Parameters!$E51),0)</f>
        <v>0</v>
      </c>
      <c r="F8" s="196">
        <f>IF(F$5&lt;=Parameters!$C$118,E8+(E8*Parameters!$E51),0)</f>
        <v>0</v>
      </c>
      <c r="G8" s="196">
        <f>IF(G$5&lt;=Parameters!$C$118,F8+(F8*Parameters!$E51),0)</f>
        <v>0</v>
      </c>
      <c r="H8" s="196">
        <f>IF(H$5&lt;=Parameters!$C$118,G8+(G8*Parameters!$E51),0)</f>
        <v>0</v>
      </c>
      <c r="I8" s="196">
        <f>IF(I$5&lt;=Parameters!$C$118,H8+(H8*Parameters!$E51),0)</f>
        <v>0</v>
      </c>
      <c r="J8" s="196">
        <f>IF(J$5&lt;=Parameters!$C$118,I8+(I8*Parameters!$E51),0)</f>
        <v>0</v>
      </c>
      <c r="K8" s="196">
        <f>IF(K$5&lt;=Parameters!$C$118,J8+(J8*Parameters!$E51),0)</f>
        <v>0</v>
      </c>
      <c r="L8" s="196">
        <f>IF(L$5&lt;=Parameters!$C$118,K8+(K8*Parameters!$E51),0)</f>
        <v>0</v>
      </c>
    </row>
    <row r="9" spans="1:12" ht="12.75">
      <c r="A9" s="176"/>
      <c r="B9" s="192" t="str">
        <f>Parameters!B52</f>
        <v>Maintenance Manager</v>
      </c>
      <c r="C9" s="196">
        <f>(Parameters!C52*Parameters!D52*12)/10^5</f>
        <v>2.4</v>
      </c>
      <c r="D9" s="196">
        <f>IF(D$5&lt;=Parameters!$C$118,C9+(C9*Parameters!$E52),0)</f>
        <v>2.6399999999999997</v>
      </c>
      <c r="E9" s="196">
        <f>IF(E$5&lt;=Parameters!$C$118,D9+(D9*Parameters!$E52),0)</f>
        <v>2.9039999999999995</v>
      </c>
      <c r="F9" s="196">
        <f>IF(F$5&lt;=Parameters!$C$118,E9+(E9*Parameters!$E52),0)</f>
        <v>3.1943999999999995</v>
      </c>
      <c r="G9" s="196">
        <f>IF(G$5&lt;=Parameters!$C$118,F9+(F9*Parameters!$E52),0)</f>
        <v>3.513839999999999</v>
      </c>
      <c r="H9" s="196">
        <f>IF(H$5&lt;=Parameters!$C$118,G9+(G9*Parameters!$E52),0)</f>
        <v>3.865223999999999</v>
      </c>
      <c r="I9" s="196">
        <f>IF(I$5&lt;=Parameters!$C$118,H9+(H9*Parameters!$E52),0)</f>
        <v>4.251746399999999</v>
      </c>
      <c r="J9" s="196">
        <f>IF(J$5&lt;=Parameters!$C$118,I9+(I9*Parameters!$E52),0)</f>
        <v>4.676921039999999</v>
      </c>
      <c r="K9" s="196">
        <f>IF(K$5&lt;=Parameters!$C$118,J9+(J9*Parameters!$E52),0)</f>
        <v>5.144613143999999</v>
      </c>
      <c r="L9" s="196">
        <f>IF(L$5&lt;=Parameters!$C$118,K9+(K9*Parameters!$E52),0)</f>
        <v>5.659074458399999</v>
      </c>
    </row>
    <row r="10" spans="1:12" ht="12.75">
      <c r="A10" s="176"/>
      <c r="B10" s="192" t="str">
        <f>Parameters!B53</f>
        <v>Superviser</v>
      </c>
      <c r="C10" s="196">
        <f>(Parameters!C53*Parameters!D53*12)/10^5</f>
        <v>3.6</v>
      </c>
      <c r="D10" s="196">
        <f>IF(D$5&lt;=Parameters!$C$118,C10+(C10*Parameters!$E53),0)</f>
        <v>3.96</v>
      </c>
      <c r="E10" s="196">
        <f>IF(E$5&lt;=Parameters!$C$118,D10+(D10*Parameters!$E53),0)</f>
        <v>4.356</v>
      </c>
      <c r="F10" s="196">
        <f>IF(F$5&lt;=Parameters!$C$118,E10+(E10*Parameters!$E53),0)</f>
        <v>4.7916</v>
      </c>
      <c r="G10" s="196">
        <f>IF(G$5&lt;=Parameters!$C$118,F10+(F10*Parameters!$E53),0)</f>
        <v>5.27076</v>
      </c>
      <c r="H10" s="196">
        <f>IF(H$5&lt;=Parameters!$C$118,G10+(G10*Parameters!$E53),0)</f>
        <v>5.797836</v>
      </c>
      <c r="I10" s="196">
        <f>IF(I$5&lt;=Parameters!$C$118,H10+(H10*Parameters!$E53),0)</f>
        <v>6.3776196</v>
      </c>
      <c r="J10" s="196">
        <f>IF(J$5&lt;=Parameters!$C$118,I10+(I10*Parameters!$E53),0)</f>
        <v>7.01538156</v>
      </c>
      <c r="K10" s="196">
        <f>IF(K$5&lt;=Parameters!$C$118,J10+(J10*Parameters!$E53),0)</f>
        <v>7.716919716</v>
      </c>
      <c r="L10" s="196">
        <f>IF(L$5&lt;=Parameters!$C$118,K10+(K10*Parameters!$E53),0)</f>
        <v>8.488611687599999</v>
      </c>
    </row>
    <row r="11" spans="1:12" ht="12.75">
      <c r="A11" s="176"/>
      <c r="B11" s="192" t="str">
        <f>Parameters!B54</f>
        <v>Foreman</v>
      </c>
      <c r="C11" s="196">
        <f>(Parameters!C54*Parameters!D54*12)/10^5</f>
        <v>2.88</v>
      </c>
      <c r="D11" s="196">
        <f>IF(D$5&lt;=Parameters!$C$118,C11+(C11*Parameters!$E54),0)</f>
        <v>3.1679999999999997</v>
      </c>
      <c r="E11" s="196">
        <f>IF(E$5&lt;=Parameters!$C$118,D11+(D11*Parameters!$E54),0)</f>
        <v>3.4848</v>
      </c>
      <c r="F11" s="196">
        <f>IF(F$5&lt;=Parameters!$C$118,E11+(E11*Parameters!$E54),0)</f>
        <v>3.83328</v>
      </c>
      <c r="G11" s="196">
        <f>IF(G$5&lt;=Parameters!$C$118,F11+(F11*Parameters!$E54),0)</f>
        <v>4.216608</v>
      </c>
      <c r="H11" s="196">
        <f>IF(H$5&lt;=Parameters!$C$118,G11+(G11*Parameters!$E54),0)</f>
        <v>4.6382688</v>
      </c>
      <c r="I11" s="196">
        <f>IF(I$5&lt;=Parameters!$C$118,H11+(H11*Parameters!$E54),0)</f>
        <v>5.10209568</v>
      </c>
      <c r="J11" s="196">
        <f>IF(J$5&lt;=Parameters!$C$118,I11+(I11*Parameters!$E54),0)</f>
        <v>5.612305247999999</v>
      </c>
      <c r="K11" s="196">
        <f>IF(K$5&lt;=Parameters!$C$118,J11+(J11*Parameters!$E54),0)</f>
        <v>6.173535772799999</v>
      </c>
      <c r="L11" s="196">
        <f>IF(L$5&lt;=Parameters!$C$118,K11+(K11*Parameters!$E54),0)</f>
        <v>6.79088935008</v>
      </c>
    </row>
    <row r="12" spans="1:12" ht="12.75">
      <c r="A12" s="176"/>
      <c r="B12" s="192" t="str">
        <f>Parameters!B55</f>
        <v>Technicans/Instrumentation</v>
      </c>
      <c r="C12" s="196">
        <f>(Parameters!C55*Parameters!D55*12)/10^5</f>
        <v>4.32</v>
      </c>
      <c r="D12" s="196">
        <f>IF(D$5&lt;=Parameters!$C$118,C12+(C12*Parameters!$E55),0)</f>
        <v>4.752000000000001</v>
      </c>
      <c r="E12" s="196">
        <f>IF(E$5&lt;=Parameters!$C$118,D12+(D12*Parameters!$E55),0)</f>
        <v>5.227200000000001</v>
      </c>
      <c r="F12" s="196">
        <f>IF(F$5&lt;=Parameters!$C$118,E12+(E12*Parameters!$E55),0)</f>
        <v>5.749920000000001</v>
      </c>
      <c r="G12" s="196">
        <f>IF(G$5&lt;=Parameters!$C$118,F12+(F12*Parameters!$E55),0)</f>
        <v>6.324912000000001</v>
      </c>
      <c r="H12" s="196">
        <f>IF(H$5&lt;=Parameters!$C$118,G12+(G12*Parameters!$E55),0)</f>
        <v>6.957403200000002</v>
      </c>
      <c r="I12" s="196">
        <f>IF(I$5&lt;=Parameters!$C$118,H12+(H12*Parameters!$E55),0)</f>
        <v>7.653143520000002</v>
      </c>
      <c r="J12" s="196">
        <f>IF(J$5&lt;=Parameters!$C$118,I12+(I12*Parameters!$E55),0)</f>
        <v>8.418457872000003</v>
      </c>
      <c r="K12" s="196">
        <f>IF(K$5&lt;=Parameters!$C$118,J12+(J12*Parameters!$E55),0)</f>
        <v>9.260303659200003</v>
      </c>
      <c r="L12" s="196">
        <f>IF(L$5&lt;=Parameters!$C$118,K12+(K12*Parameters!$E55),0)</f>
        <v>10.186334025120004</v>
      </c>
    </row>
    <row r="13" spans="1:12" ht="12.75">
      <c r="A13" s="176"/>
      <c r="B13" s="192" t="str">
        <f>Parameters!B56</f>
        <v>Helpers</v>
      </c>
      <c r="C13" s="196">
        <f>(Parameters!C56*Parameters!D56*12)/10^5</f>
        <v>3.84</v>
      </c>
      <c r="D13" s="196">
        <f>IF(D$5&lt;=Parameters!$C$118,C13+(C13*Parameters!$E56),0)</f>
        <v>4.224</v>
      </c>
      <c r="E13" s="196">
        <f>IF(E$5&lt;=Parameters!$C$118,D13+(D13*Parameters!$E56),0)</f>
        <v>4.6464</v>
      </c>
      <c r="F13" s="196">
        <f>IF(F$5&lt;=Parameters!$C$118,E13+(E13*Parameters!$E56),0)</f>
        <v>5.11104</v>
      </c>
      <c r="G13" s="196">
        <f>IF(G$5&lt;=Parameters!$C$118,F13+(F13*Parameters!$E56),0)</f>
        <v>5.6221440000000005</v>
      </c>
      <c r="H13" s="196">
        <f>IF(H$5&lt;=Parameters!$C$118,G13+(G13*Parameters!$E56),0)</f>
        <v>6.184358400000001</v>
      </c>
      <c r="I13" s="196">
        <f>IF(I$5&lt;=Parameters!$C$118,H13+(H13*Parameters!$E56),0)</f>
        <v>6.802794240000001</v>
      </c>
      <c r="J13" s="196">
        <f>IF(J$5&lt;=Parameters!$C$118,I13+(I13*Parameters!$E56),0)</f>
        <v>7.483073664000001</v>
      </c>
      <c r="K13" s="196">
        <f>IF(K$5&lt;=Parameters!$C$118,J13+(J13*Parameters!$E56),0)</f>
        <v>8.231381030400001</v>
      </c>
      <c r="L13" s="196">
        <f>IF(L$5&lt;=Parameters!$C$118,K13+(K13*Parameters!$E56),0)</f>
        <v>9.054519133440001</v>
      </c>
    </row>
    <row r="14" spans="1:12" ht="12.75">
      <c r="A14" s="176"/>
      <c r="B14" s="192" t="str">
        <f>Parameters!B57</f>
        <v>Any other</v>
      </c>
      <c r="C14" s="196">
        <f>(Parameters!C57*Parameters!D57*12)/10^5</f>
        <v>1.44</v>
      </c>
      <c r="D14" s="196">
        <f>IF(D$5&lt;=Parameters!$C$118,C14+(C14*Parameters!$E57),0)</f>
        <v>1.5839999999999999</v>
      </c>
      <c r="E14" s="196">
        <f>IF(E$5&lt;=Parameters!$C$118,D14+(D14*Parameters!$E57),0)</f>
        <v>1.7424</v>
      </c>
      <c r="F14" s="196">
        <f>IF(F$5&lt;=Parameters!$C$118,E14+(E14*Parameters!$E57),0)</f>
        <v>1.91664</v>
      </c>
      <c r="G14" s="196">
        <f>IF(G$5&lt;=Parameters!$C$118,F14+(F14*Parameters!$E57),0)</f>
        <v>2.108304</v>
      </c>
      <c r="H14" s="196">
        <f>IF(H$5&lt;=Parameters!$C$118,G14+(G14*Parameters!$E57),0)</f>
        <v>2.3191344</v>
      </c>
      <c r="I14" s="196">
        <f>IF(I$5&lt;=Parameters!$C$118,H14+(H14*Parameters!$E57),0)</f>
        <v>2.55104784</v>
      </c>
      <c r="J14" s="196">
        <f>IF(J$5&lt;=Parameters!$C$118,I14+(I14*Parameters!$E57),0)</f>
        <v>2.8061526239999997</v>
      </c>
      <c r="K14" s="196">
        <f>IF(K$5&lt;=Parameters!$C$118,J14+(J14*Parameters!$E57),0)</f>
        <v>3.0867678863999997</v>
      </c>
      <c r="L14" s="196">
        <f>IF(L$5&lt;=Parameters!$C$118,K14+(K14*Parameters!$E57),0)</f>
        <v>3.39544467504</v>
      </c>
    </row>
    <row r="15" spans="1:12" ht="12.75">
      <c r="A15" s="176"/>
      <c r="B15" s="194" t="s">
        <v>59</v>
      </c>
      <c r="C15" s="197">
        <f aca="true" t="shared" si="0" ref="C15:L15">SUM(C8:C14)</f>
        <v>18.48</v>
      </c>
      <c r="D15" s="197">
        <f t="shared" si="0"/>
        <v>20.328</v>
      </c>
      <c r="E15" s="197">
        <f t="shared" si="0"/>
        <v>22.3608</v>
      </c>
      <c r="F15" s="197">
        <f t="shared" si="0"/>
        <v>24.596880000000002</v>
      </c>
      <c r="G15" s="197">
        <f t="shared" si="0"/>
        <v>27.056568000000002</v>
      </c>
      <c r="H15" s="197">
        <f t="shared" si="0"/>
        <v>29.762224800000002</v>
      </c>
      <c r="I15" s="197">
        <f t="shared" si="0"/>
        <v>32.73844728</v>
      </c>
      <c r="J15" s="197">
        <f t="shared" si="0"/>
        <v>36.012292008</v>
      </c>
      <c r="K15" s="197">
        <f t="shared" si="0"/>
        <v>39.6135212088</v>
      </c>
      <c r="L15" s="261">
        <f t="shared" si="0"/>
        <v>43.57487332968</v>
      </c>
    </row>
    <row r="16" spans="1:12" ht="12.75">
      <c r="A16" s="176"/>
      <c r="B16" s="192"/>
      <c r="C16" s="196"/>
      <c r="D16" s="196"/>
      <c r="E16" s="196"/>
      <c r="F16" s="196"/>
      <c r="G16" s="196"/>
      <c r="H16" s="196"/>
      <c r="I16" s="196"/>
      <c r="J16" s="196"/>
      <c r="K16" s="196"/>
      <c r="L16" s="260"/>
    </row>
    <row r="17" spans="1:12" ht="12.75">
      <c r="A17" s="176"/>
      <c r="B17" s="192"/>
      <c r="C17" s="196"/>
      <c r="D17" s="196"/>
      <c r="E17" s="196"/>
      <c r="F17" s="196"/>
      <c r="G17" s="196"/>
      <c r="H17" s="196"/>
      <c r="I17" s="196"/>
      <c r="J17" s="196"/>
      <c r="K17" s="196"/>
      <c r="L17" s="260"/>
    </row>
    <row r="18" spans="1:12" ht="12.75">
      <c r="A18" s="176">
        <v>3</v>
      </c>
      <c r="B18" s="205" t="str">
        <f>Parameters!B58</f>
        <v>Administrative &amp; Management Staff</v>
      </c>
      <c r="C18" s="196"/>
      <c r="D18" s="196"/>
      <c r="E18" s="196"/>
      <c r="F18" s="196"/>
      <c r="G18" s="196"/>
      <c r="H18" s="196"/>
      <c r="I18" s="196"/>
      <c r="J18" s="196"/>
      <c r="K18" s="196"/>
      <c r="L18" s="260"/>
    </row>
    <row r="19" spans="1:12" ht="12.75">
      <c r="A19" s="176"/>
      <c r="B19" s="192" t="str">
        <f>Parameters!B59</f>
        <v>General Manager</v>
      </c>
      <c r="C19" s="196">
        <f>(Parameters!C59*Parameters!D59*12)/10^5</f>
        <v>0</v>
      </c>
      <c r="D19" s="196">
        <f>IF(D$5&lt;=Parameters!$C$118,C19+(C19*Parameters!$E59),0)</f>
        <v>0</v>
      </c>
      <c r="E19" s="196">
        <f>IF(E$5&lt;=Parameters!$C$118,D19+(D19*Parameters!$E59),0)</f>
        <v>0</v>
      </c>
      <c r="F19" s="196">
        <f>IF(F$5&lt;=Parameters!$C$118,E19+(E19*Parameters!$E59),0)</f>
        <v>0</v>
      </c>
      <c r="G19" s="196">
        <f>IF(G$5&lt;=Parameters!$C$118,F19+(F19*Parameters!$E59),0)</f>
        <v>0</v>
      </c>
      <c r="H19" s="196">
        <f>IF(H$5&lt;=Parameters!$C$118,G19+(G19*Parameters!$E59),0)</f>
        <v>0</v>
      </c>
      <c r="I19" s="196">
        <f>IF(I$5&lt;=Parameters!$C$118,H19+(H19*Parameters!$E59),0)</f>
        <v>0</v>
      </c>
      <c r="J19" s="196">
        <f>IF(J$5&lt;=Parameters!$C$118,I19+(I19*Parameters!$E59),0)</f>
        <v>0</v>
      </c>
      <c r="K19" s="196">
        <f>IF(K$5&lt;=Parameters!$C$118,J19+(J19*Parameters!$E59),0)</f>
        <v>0</v>
      </c>
      <c r="L19" s="196">
        <f>IF(L$5&lt;=Parameters!$C$118,K19+(K19*Parameters!$E59),0)</f>
        <v>0</v>
      </c>
    </row>
    <row r="20" spans="1:12" ht="12.75">
      <c r="A20" s="176"/>
      <c r="B20" s="192" t="str">
        <f>Parameters!B60</f>
        <v>Company Secteary cum Finance manager</v>
      </c>
      <c r="C20" s="196">
        <f>(Parameters!C60*Parameters!D60*12)/10^5</f>
        <v>0</v>
      </c>
      <c r="D20" s="196">
        <f>IF(D$5&lt;=Parameters!$C$118,C20+(C20*Parameters!$E60),0)</f>
        <v>0</v>
      </c>
      <c r="E20" s="196">
        <f>IF(E$5&lt;=Parameters!$C$118,D20+(D20*Parameters!$E60),0)</f>
        <v>0</v>
      </c>
      <c r="F20" s="196">
        <f>IF(F$5&lt;=Parameters!$C$118,E20+(E20*Parameters!$E60),0)</f>
        <v>0</v>
      </c>
      <c r="G20" s="196">
        <f>IF(G$5&lt;=Parameters!$C$118,F20+(F20*Parameters!$E60),0)</f>
        <v>0</v>
      </c>
      <c r="H20" s="196">
        <f>IF(H$5&lt;=Parameters!$C$118,G20+(G20*Parameters!$E60),0)</f>
        <v>0</v>
      </c>
      <c r="I20" s="196">
        <f>IF(I$5&lt;=Parameters!$C$118,H20+(H20*Parameters!$E60),0)</f>
        <v>0</v>
      </c>
      <c r="J20" s="196">
        <f>IF(J$5&lt;=Parameters!$C$118,I20+(I20*Parameters!$E60),0)</f>
        <v>0</v>
      </c>
      <c r="K20" s="196">
        <f>IF(K$5&lt;=Parameters!$C$118,J20+(J20*Parameters!$E60),0)</f>
        <v>0</v>
      </c>
      <c r="L20" s="196">
        <f>IF(L$5&lt;=Parameters!$C$118,K20+(K20*Parameters!$E60),0)</f>
        <v>0</v>
      </c>
    </row>
    <row r="21" spans="1:12" ht="12.75">
      <c r="A21" s="176"/>
      <c r="B21" s="192" t="str">
        <f>Parameters!B61</f>
        <v>Accounts Officer</v>
      </c>
      <c r="C21" s="196">
        <f>(Parameters!C61*Parameters!D61*12)/10^5</f>
        <v>1.2</v>
      </c>
      <c r="D21" s="196">
        <f>IF(D$5&lt;=Parameters!$C$118,C21+(C21*Parameters!$E61),0)</f>
        <v>1.3199999999999998</v>
      </c>
      <c r="E21" s="196">
        <f>IF(E$5&lt;=Parameters!$C$118,D21+(D21*Parameters!$E61),0)</f>
        <v>1.4519999999999997</v>
      </c>
      <c r="F21" s="196">
        <f>IF(F$5&lt;=Parameters!$C$118,E21+(E21*Parameters!$E61),0)</f>
        <v>1.5971999999999997</v>
      </c>
      <c r="G21" s="196">
        <f>IF(G$5&lt;=Parameters!$C$118,F21+(F21*Parameters!$E61),0)</f>
        <v>1.7569199999999996</v>
      </c>
      <c r="H21" s="196">
        <f>IF(H$5&lt;=Parameters!$C$118,G21+(G21*Parameters!$E61),0)</f>
        <v>1.9326119999999996</v>
      </c>
      <c r="I21" s="196">
        <f>IF(I$5&lt;=Parameters!$C$118,H21+(H21*Parameters!$E61),0)</f>
        <v>2.1258731999999996</v>
      </c>
      <c r="J21" s="196">
        <f>IF(J$5&lt;=Parameters!$C$118,I21+(I21*Parameters!$E61),0)</f>
        <v>2.3384605199999995</v>
      </c>
      <c r="K21" s="196">
        <f>IF(K$5&lt;=Parameters!$C$118,J21+(J21*Parameters!$E61),0)</f>
        <v>2.5723065719999996</v>
      </c>
      <c r="L21" s="196">
        <f>IF(L$5&lt;=Parameters!$C$118,K21+(K21*Parameters!$E61),0)</f>
        <v>2.8295372291999996</v>
      </c>
    </row>
    <row r="22" spans="1:12" ht="12.75">
      <c r="A22" s="176"/>
      <c r="B22" s="192"/>
      <c r="C22" s="196"/>
      <c r="D22" s="196"/>
      <c r="E22" s="196"/>
      <c r="F22" s="196"/>
      <c r="G22" s="196"/>
      <c r="H22" s="196"/>
      <c r="I22" s="196"/>
      <c r="J22" s="196"/>
      <c r="K22" s="196"/>
      <c r="L22" s="260"/>
    </row>
    <row r="23" spans="1:12" ht="12.75">
      <c r="A23" s="176"/>
      <c r="B23" s="194" t="s">
        <v>59</v>
      </c>
      <c r="C23" s="197">
        <f>SUM(C19:C22)</f>
        <v>1.2</v>
      </c>
      <c r="D23" s="197">
        <f aca="true" t="shared" si="1" ref="D23:I23">SUM(D19:D22)</f>
        <v>1.3199999999999998</v>
      </c>
      <c r="E23" s="197">
        <f t="shared" si="1"/>
        <v>1.4519999999999997</v>
      </c>
      <c r="F23" s="197">
        <f t="shared" si="1"/>
        <v>1.5971999999999997</v>
      </c>
      <c r="G23" s="197">
        <f t="shared" si="1"/>
        <v>1.7569199999999996</v>
      </c>
      <c r="H23" s="197">
        <f t="shared" si="1"/>
        <v>1.9326119999999996</v>
      </c>
      <c r="I23" s="197">
        <f t="shared" si="1"/>
        <v>2.1258731999999996</v>
      </c>
      <c r="J23" s="197">
        <f>SUM(J19:J22)</f>
        <v>2.3384605199999995</v>
      </c>
      <c r="K23" s="197">
        <f>SUM(K19:K22)</f>
        <v>2.5723065719999996</v>
      </c>
      <c r="L23" s="261">
        <f>SUM(L19:L22)</f>
        <v>2.8295372291999996</v>
      </c>
    </row>
    <row r="24" spans="1:12" ht="12.75">
      <c r="A24" s="176"/>
      <c r="B24" s="192"/>
      <c r="C24" s="196"/>
      <c r="D24" s="196"/>
      <c r="E24" s="196"/>
      <c r="F24" s="196"/>
      <c r="G24" s="196"/>
      <c r="H24" s="196"/>
      <c r="I24" s="196"/>
      <c r="J24" s="196"/>
      <c r="K24" s="196"/>
      <c r="L24" s="260"/>
    </row>
    <row r="25" spans="1:12" ht="13.5" thickBot="1">
      <c r="A25" s="178"/>
      <c r="B25" s="292" t="s">
        <v>111</v>
      </c>
      <c r="C25" s="293">
        <f>C15+C23</f>
        <v>19.68</v>
      </c>
      <c r="D25" s="293">
        <f aca="true" t="shared" si="2" ref="D25:L25">D15+D23</f>
        <v>21.648</v>
      </c>
      <c r="E25" s="293">
        <f t="shared" si="2"/>
        <v>23.8128</v>
      </c>
      <c r="F25" s="293">
        <f t="shared" si="2"/>
        <v>26.194080000000003</v>
      </c>
      <c r="G25" s="293">
        <f t="shared" si="2"/>
        <v>28.813488000000003</v>
      </c>
      <c r="H25" s="293">
        <f t="shared" si="2"/>
        <v>31.6948368</v>
      </c>
      <c r="I25" s="293">
        <f t="shared" si="2"/>
        <v>34.86432048</v>
      </c>
      <c r="J25" s="293">
        <f t="shared" si="2"/>
        <v>38.350752528</v>
      </c>
      <c r="K25" s="293">
        <f t="shared" si="2"/>
        <v>42.185827780800004</v>
      </c>
      <c r="L25" s="293">
        <f t="shared" si="2"/>
        <v>46.40441055888</v>
      </c>
    </row>
    <row r="26" spans="1:12" s="289" customFormat="1" ht="12.75">
      <c r="A26" s="294"/>
      <c r="B26" s="380" t="s">
        <v>299</v>
      </c>
      <c r="C26" s="381">
        <f>IF(Parameters!$D$23&lt;=C5,(C5-Parameters!$D$23)*C25,0)</f>
        <v>14.76</v>
      </c>
      <c r="D26" s="381">
        <f>IF(AND(Parameters!$D$23&gt;C5,Parameters!$D$23&lt;=D5),(D5-Parameters!$D$23)*D25,IF(Parameters!$D$23&lt;=D5,D25,0))</f>
        <v>21.648</v>
      </c>
      <c r="E26" s="381">
        <f>IF(AND(Parameters!$D$23&gt;D5,Parameters!$D$23&lt;=E5),(E5-Parameters!$D$23)*E25,IF(Parameters!$D$23&lt;=E5,E25,0))</f>
        <v>23.8128</v>
      </c>
      <c r="F26" s="381">
        <f>IF(AND(Parameters!$D$23&gt;E5,Parameters!$D$23&lt;=F5),(F5-Parameters!$D$23)*F25,IF(Parameters!$D$23&lt;=F5,F25,0))</f>
        <v>26.194080000000003</v>
      </c>
      <c r="G26" s="381">
        <f>IF(AND(Parameters!$D$23&gt;F5,Parameters!$D$23&lt;=G5),(G5-Parameters!$D$23)*G25,IF(Parameters!$D$23&lt;=G5,G25,0))</f>
        <v>28.813488000000003</v>
      </c>
      <c r="H26" s="381">
        <f>IF(AND(Parameters!$D$23&gt;G5,Parameters!$D$23&lt;=H5),(H5-Parameters!$D$23)*H25,IF(Parameters!$D$23&lt;=H5,H25,0))</f>
        <v>31.6948368</v>
      </c>
      <c r="I26" s="381">
        <f>IF(AND(Parameters!$D$23&gt;H5,Parameters!$D$23&lt;=I5),(I5-Parameters!$D$23)*I25,IF(Parameters!$D$23&lt;=I5,I25,0))</f>
        <v>34.86432048</v>
      </c>
      <c r="J26" s="381">
        <f>IF(AND(Parameters!$D$23&gt;I5,Parameters!$D$23&lt;=J5),(J5-Parameters!$D$23)*J25,IF(Parameters!$D$23&lt;=J5,J25,0))</f>
        <v>38.350752528</v>
      </c>
      <c r="K26" s="381">
        <f>IF(AND(Parameters!$D$23&gt;J5,Parameters!$D$23&lt;=K5),(K5-Parameters!$D$23)*K25,IF(Parameters!$D$23&lt;=K5,K25,0))</f>
        <v>42.185827780800004</v>
      </c>
      <c r="L26" s="381">
        <f>IF(AND(Parameters!$D$23&gt;K5,Parameters!$D$23&lt;=L5),(L5-Parameters!$D$23)*L25,IF(Parameters!$D$23&lt;=L5,L25,0))</f>
        <v>46.40441055888</v>
      </c>
    </row>
    <row r="27" spans="3:12" ht="13.5" thickBot="1">
      <c r="C27" s="296"/>
      <c r="D27" s="296">
        <v>0</v>
      </c>
      <c r="E27" s="296"/>
      <c r="F27" s="296"/>
      <c r="G27" s="296"/>
      <c r="H27" s="296"/>
      <c r="I27" s="296"/>
      <c r="J27" s="296"/>
      <c r="K27" s="296"/>
      <c r="L27" s="296"/>
    </row>
    <row r="28" spans="1:12" ht="12.75">
      <c r="A28" s="297" t="s">
        <v>19</v>
      </c>
      <c r="B28" s="298" t="s">
        <v>115</v>
      </c>
      <c r="C28" s="171">
        <v>1</v>
      </c>
      <c r="D28" s="171">
        <f>D5</f>
        <v>2</v>
      </c>
      <c r="E28" s="171">
        <f aca="true" t="shared" si="3" ref="E28:L28">E5</f>
        <v>3</v>
      </c>
      <c r="F28" s="171">
        <f t="shared" si="3"/>
        <v>4</v>
      </c>
      <c r="G28" s="171">
        <f t="shared" si="3"/>
        <v>5</v>
      </c>
      <c r="H28" s="171">
        <f t="shared" si="3"/>
        <v>6</v>
      </c>
      <c r="I28" s="171">
        <f t="shared" si="3"/>
        <v>7</v>
      </c>
      <c r="J28" s="171">
        <f t="shared" si="3"/>
        <v>8</v>
      </c>
      <c r="K28" s="171">
        <f t="shared" si="3"/>
        <v>9</v>
      </c>
      <c r="L28" s="171">
        <f t="shared" si="3"/>
        <v>10</v>
      </c>
    </row>
    <row r="29" spans="1:12" ht="12.75">
      <c r="A29" s="299"/>
      <c r="B29" s="176" t="s">
        <v>117</v>
      </c>
      <c r="C29" s="196">
        <f>(Parameters!C64*Parameters!D64)/10^5</f>
        <v>5.849640000000001E-07</v>
      </c>
      <c r="D29" s="196">
        <f>IF(D$5&lt;=Parameters!$C$118,C29+(C29*Parameters!$E64),0)</f>
        <v>5.849640000000001E-07</v>
      </c>
      <c r="E29" s="196">
        <f>IF(E$5&lt;=Parameters!$C$118,D29+(D29*Parameters!$E64),0)</f>
        <v>5.849640000000001E-07</v>
      </c>
      <c r="F29" s="196">
        <f>IF(F$5&lt;=Parameters!$C$118,E29+(E29*Parameters!$E64),0)</f>
        <v>5.849640000000001E-07</v>
      </c>
      <c r="G29" s="196">
        <f>IF(G$5&lt;=Parameters!$C$118,F29+(F29*Parameters!$E64),0)</f>
        <v>5.849640000000001E-07</v>
      </c>
      <c r="H29" s="196">
        <f>IF(H$5&lt;=Parameters!$C$118,G29+(G29*Parameters!$E64),0)</f>
        <v>5.849640000000001E-07</v>
      </c>
      <c r="I29" s="196">
        <f>IF(I$5&lt;=Parameters!$C$118,H29+(H29*Parameters!$E64),0)</f>
        <v>5.849640000000001E-07</v>
      </c>
      <c r="J29" s="196">
        <f>IF(J$5&lt;=Parameters!$C$118,I29+(I29*Parameters!$E64),0)</f>
        <v>5.849640000000001E-07</v>
      </c>
      <c r="K29" s="196">
        <f>IF(K$5&lt;=Parameters!$C$118,J29+(J29*Parameters!$E64),0)</f>
        <v>5.849640000000001E-07</v>
      </c>
      <c r="L29" s="196">
        <f>IF(L$5&lt;=Parameters!$C$118,K29+(K29*Parameters!$E64),0)</f>
        <v>5.849640000000001E-07</v>
      </c>
    </row>
    <row r="30" spans="1:12" ht="12.75">
      <c r="A30" s="299"/>
      <c r="B30" s="176" t="s">
        <v>118</v>
      </c>
      <c r="C30" s="196">
        <f>(Parameters!C65*Parameters!D65)/10^5</f>
        <v>2.3398560000000003E-06</v>
      </c>
      <c r="D30" s="196">
        <f>IF(D$5&lt;=Parameters!$C$118,C30+(C30*Parameters!$E65),0)</f>
        <v>2.3398560000000003E-06</v>
      </c>
      <c r="E30" s="196">
        <f>IF(E$5&lt;=Parameters!$C$118,D30+(D30*Parameters!$E65),0)</f>
        <v>2.3398560000000003E-06</v>
      </c>
      <c r="F30" s="196">
        <f>IF(F$5&lt;=Parameters!$C$118,E30+(E30*Parameters!$E65),0)</f>
        <v>2.3398560000000003E-06</v>
      </c>
      <c r="G30" s="196">
        <f>IF(G$5&lt;=Parameters!$C$118,F30+(F30*Parameters!$E65),0)</f>
        <v>2.3398560000000003E-06</v>
      </c>
      <c r="H30" s="196">
        <f>IF(H$5&lt;=Parameters!$C$118,G30+(G30*Parameters!$E65),0)</f>
        <v>2.3398560000000003E-06</v>
      </c>
      <c r="I30" s="196">
        <f>IF(I$5&lt;=Parameters!$C$118,H30+(H30*Parameters!$E65),0)</f>
        <v>2.3398560000000003E-06</v>
      </c>
      <c r="J30" s="196">
        <f>IF(J$5&lt;=Parameters!$C$118,I30+(I30*Parameters!$E65),0)</f>
        <v>2.3398560000000003E-06</v>
      </c>
      <c r="K30" s="196">
        <f>IF(K$5&lt;=Parameters!$C$118,J30+(J30*Parameters!$E65),0)</f>
        <v>2.3398560000000003E-06</v>
      </c>
      <c r="L30" s="196">
        <f>IF(L$5&lt;=Parameters!$C$118,K30+(K30*Parameters!$E65),0)</f>
        <v>2.3398560000000003E-06</v>
      </c>
    </row>
    <row r="31" spans="1:12" ht="12.75">
      <c r="A31" s="299"/>
      <c r="B31" s="176" t="s">
        <v>119</v>
      </c>
      <c r="C31" s="196">
        <f>(Parameters!C66*Parameters!D66)/10^5</f>
        <v>2.3398560000000003E-06</v>
      </c>
      <c r="D31" s="196">
        <f>IF(D$5&lt;=Parameters!$C$118,C31+(C31*Parameters!$E66),0)</f>
        <v>2.38665312E-06</v>
      </c>
      <c r="E31" s="196">
        <f>IF(E$5&lt;=Parameters!$C$118,D31+(D31*Parameters!$E66),0)</f>
        <v>2.4343861824000003E-06</v>
      </c>
      <c r="F31" s="196">
        <f>IF(F$5&lt;=Parameters!$C$118,E31+(E31*Parameters!$E66),0)</f>
        <v>2.4830739060480005E-06</v>
      </c>
      <c r="G31" s="196">
        <f>IF(G$5&lt;=Parameters!$C$118,F31+(F31*Parameters!$E66),0)</f>
        <v>2.5327353841689606E-06</v>
      </c>
      <c r="H31" s="196">
        <f>IF(H$5&lt;=Parameters!$C$118,G31+(G31*Parameters!$E66),0)</f>
        <v>2.58339009185234E-06</v>
      </c>
      <c r="I31" s="196">
        <f>IF(I$5&lt;=Parameters!$C$118,H31+(H31*Parameters!$E66),0)</f>
        <v>2.6350578936893866E-06</v>
      </c>
      <c r="J31" s="196">
        <f>IF(J$5&lt;=Parameters!$C$118,I31+(I31*Parameters!$E66),0)</f>
        <v>2.687759051563174E-06</v>
      </c>
      <c r="K31" s="196">
        <f>IF(K$5&lt;=Parameters!$C$118,J31+(J31*Parameters!$E66),0)</f>
        <v>2.7415142325944374E-06</v>
      </c>
      <c r="L31" s="196">
        <f>IF(L$5&lt;=Parameters!$C$118,K31+(K31*Parameters!$E66),0)</f>
        <v>2.7963445172463263E-06</v>
      </c>
    </row>
    <row r="32" spans="1:12" ht="12.75">
      <c r="A32" s="299"/>
      <c r="B32" s="176"/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12.75">
      <c r="A33" s="299"/>
      <c r="B33" s="176" t="s">
        <v>125</v>
      </c>
      <c r="C33" s="196">
        <f>(Parameters!C67*Parameters!D67)/10^5</f>
        <v>0</v>
      </c>
      <c r="D33" s="196">
        <f>IF(D$5&lt;=Parameters!$C$118,C33+(C33*Parameters!$E67),0)</f>
        <v>0</v>
      </c>
      <c r="E33" s="196">
        <f>IF(E$5&lt;=Parameters!$C$118,D33+(D33*Parameters!$E67),0)</f>
        <v>0</v>
      </c>
      <c r="F33" s="196">
        <f>IF(F$5&lt;=Parameters!$C$118,E33+(E33*Parameters!$E67),0)</f>
        <v>0</v>
      </c>
      <c r="G33" s="196">
        <f>IF(G$5&lt;=Parameters!$C$118,F33+(F33*Parameters!$E67),0)</f>
        <v>0</v>
      </c>
      <c r="H33" s="196">
        <f>IF(H$5&lt;=Parameters!$C$118,G33+(G33*Parameters!$E67),0)</f>
        <v>0</v>
      </c>
      <c r="I33" s="196">
        <f>IF(I$5&lt;=Parameters!$C$118,H33+(H33*Parameters!$E67),0)</f>
        <v>0</v>
      </c>
      <c r="J33" s="196">
        <f>IF(J$5&lt;=Parameters!$C$118,I33+(I33*Parameters!$E67),0)</f>
        <v>0</v>
      </c>
      <c r="K33" s="196">
        <f>IF(K$5&lt;=Parameters!$C$118,J33+(J33*Parameters!$E67),0)</f>
        <v>0</v>
      </c>
      <c r="L33" s="196">
        <f>IF(L$5&lt;=Parameters!$C$118,K33+(K33*Parameters!$E67),0)</f>
        <v>0</v>
      </c>
    </row>
    <row r="34" spans="1:12" ht="12.75">
      <c r="A34" s="299"/>
      <c r="B34" s="176" t="s">
        <v>121</v>
      </c>
      <c r="C34" s="196">
        <f>(Parameters!C68*Parameters!D68)/10^5</f>
        <v>0</v>
      </c>
      <c r="D34" s="196">
        <f>IF(D$5&lt;=Parameters!$C$118,C34+(C34*Parameters!$E68),0)</f>
        <v>0</v>
      </c>
      <c r="E34" s="196">
        <f>IF(E$5&lt;=Parameters!$C$118,D34+(D34*Parameters!$E68),0)</f>
        <v>0</v>
      </c>
      <c r="F34" s="196">
        <f>IF(F$5&lt;=Parameters!$C$118,E34+(E34*Parameters!$E68),0)</f>
        <v>0</v>
      </c>
      <c r="G34" s="196">
        <f>IF(G$5&lt;=Parameters!$C$118,F34+(F34*Parameters!$E68),0)</f>
        <v>0</v>
      </c>
      <c r="H34" s="196">
        <f>IF(H$5&lt;=Parameters!$C$118,G34+(G34*Parameters!$E68),0)</f>
        <v>0</v>
      </c>
      <c r="I34" s="196">
        <f>IF(I$5&lt;=Parameters!$C$118,H34+(H34*Parameters!$E68),0)</f>
        <v>0</v>
      </c>
      <c r="J34" s="196">
        <f>IF(J$5&lt;=Parameters!$C$118,I34+(I34*Parameters!$E68),0)</f>
        <v>0</v>
      </c>
      <c r="K34" s="196">
        <f>IF(K$5&lt;=Parameters!$C$118,J34+(J34*Parameters!$E68),0)</f>
        <v>0</v>
      </c>
      <c r="L34" s="196">
        <f>IF(L$5&lt;=Parameters!$C$118,K34+(K34*Parameters!$E68),0)</f>
        <v>0</v>
      </c>
    </row>
    <row r="35" spans="1:12" ht="12.75">
      <c r="A35" s="299"/>
      <c r="B35" s="176" t="s">
        <v>122</v>
      </c>
      <c r="C35" s="196">
        <f>(Parameters!C70*Parameters!D70)/10^5</f>
        <v>0</v>
      </c>
      <c r="D35" s="196">
        <f>IF(D$5&lt;=Parameters!$C$118,C35+(C35*Parameters!$E69),0)</f>
        <v>0</v>
      </c>
      <c r="E35" s="196">
        <f>IF(E$5&lt;=Parameters!$C$118,D35+(D35*Parameters!$E69),0)</f>
        <v>0</v>
      </c>
      <c r="F35" s="196">
        <f>IF(F$5&lt;=Parameters!$C$118,E35+(E35*Parameters!$E69),0)</f>
        <v>0</v>
      </c>
      <c r="G35" s="196">
        <f>IF(G$5&lt;=Parameters!$C$118,F35+(F35*Parameters!$E69),0)</f>
        <v>0</v>
      </c>
      <c r="H35" s="196">
        <f>IF(H$5&lt;=Parameters!$C$118,G35+(G35*Parameters!$E69),0)</f>
        <v>0</v>
      </c>
      <c r="I35" s="196">
        <f>IF(I$5&lt;=Parameters!$C$118,H35+(H35*Parameters!$E69),0)</f>
        <v>0</v>
      </c>
      <c r="J35" s="196">
        <f>IF(J$5&lt;=Parameters!$C$118,I35+(I35*Parameters!$E69),0)</f>
        <v>0</v>
      </c>
      <c r="K35" s="196">
        <f>IF(K$5&lt;=Parameters!$C$118,J35+(J35*Parameters!$E69),0)</f>
        <v>0</v>
      </c>
      <c r="L35" s="196">
        <f>IF(L$5&lt;=Parameters!$C$118,K35+(K35*Parameters!$E69),0)</f>
        <v>0</v>
      </c>
    </row>
    <row r="36" spans="1:12" ht="12.75">
      <c r="A36" s="299"/>
      <c r="B36" s="176"/>
      <c r="C36" s="196"/>
      <c r="D36" s="196"/>
      <c r="E36" s="196"/>
      <c r="F36" s="196"/>
      <c r="G36" s="196"/>
      <c r="H36" s="196"/>
      <c r="I36" s="196"/>
      <c r="J36" s="196"/>
      <c r="K36" s="196"/>
      <c r="L36" s="260"/>
    </row>
    <row r="37" spans="1:12" ht="12.75">
      <c r="A37" s="299"/>
      <c r="B37" s="177" t="s">
        <v>126</v>
      </c>
      <c r="C37" s="197">
        <f>SUM(C29:C36)</f>
        <v>5.264676000000001E-06</v>
      </c>
      <c r="D37" s="197">
        <f aca="true" t="shared" si="4" ref="D37:I37">SUM(D29:D36)</f>
        <v>5.311473120000001E-06</v>
      </c>
      <c r="E37" s="197">
        <f t="shared" si="4"/>
        <v>5.359206182400001E-06</v>
      </c>
      <c r="F37" s="197">
        <f t="shared" si="4"/>
        <v>5.407893906048001E-06</v>
      </c>
      <c r="G37" s="197">
        <f t="shared" si="4"/>
        <v>5.457555384168961E-06</v>
      </c>
      <c r="H37" s="197">
        <f t="shared" si="4"/>
        <v>5.508210091852341E-06</v>
      </c>
      <c r="I37" s="197">
        <f t="shared" si="4"/>
        <v>5.559877893689387E-06</v>
      </c>
      <c r="J37" s="197">
        <f>SUM(J29:J36)</f>
        <v>5.612579051563175E-06</v>
      </c>
      <c r="K37" s="197">
        <f>SUM(K29:K36)</f>
        <v>5.6663342325944375E-06</v>
      </c>
      <c r="L37" s="261">
        <f>SUM(L29:L36)</f>
        <v>5.721164517246327E-06</v>
      </c>
    </row>
    <row r="38" spans="1:12" ht="13.5" thickBot="1">
      <c r="A38" s="300"/>
      <c r="B38" s="178"/>
      <c r="C38" s="301"/>
      <c r="D38" s="301"/>
      <c r="E38" s="301"/>
      <c r="F38" s="301"/>
      <c r="G38" s="301"/>
      <c r="H38" s="301"/>
      <c r="I38" s="301"/>
      <c r="J38" s="301"/>
      <c r="K38" s="301"/>
      <c r="L38" s="302"/>
    </row>
    <row r="39" ht="3" customHeight="1"/>
    <row r="40" spans="1:12" s="289" customFormat="1" ht="12.75">
      <c r="A40" s="294"/>
      <c r="B40" s="295" t="s">
        <v>298</v>
      </c>
      <c r="C40" s="198">
        <f>IF(Parameters!$D$23&lt;=C28,(C28-Parameters!$D$23)*C37,0)</f>
        <v>3.948507E-06</v>
      </c>
      <c r="D40" s="198">
        <f>IF(AND(Parameters!$D$23&gt;C28,Parameters!$D$23&lt;=D28),(D28-Parameters!$D$23)*D37,IF(Parameters!$D$23&lt;=D28,D37,0))</f>
        <v>5.311473120000001E-06</v>
      </c>
      <c r="E40" s="198">
        <f>IF(AND(Parameters!$D$23&gt;D28,Parameters!$D$23&lt;=E28),(E28-Parameters!$D$23)*E37,IF(Parameters!$D$23&lt;=E28,E37,0))</f>
        <v>5.359206182400001E-06</v>
      </c>
      <c r="F40" s="198">
        <f>IF(AND(Parameters!$D$23&gt;E28,Parameters!$D$23&lt;=F28),(F28-Parameters!$D$23)*F37,IF(Parameters!$D$23&lt;=F28,F37,0))</f>
        <v>5.407893906048001E-06</v>
      </c>
      <c r="G40" s="198">
        <f>IF(AND(Parameters!$D$23&gt;F28,Parameters!$D$23&lt;=G28),(G28-Parameters!$D$23)*G37,IF(Parameters!$D$23&lt;=G28,G37,0))</f>
        <v>5.457555384168961E-06</v>
      </c>
      <c r="H40" s="198">
        <f>IF(AND(Parameters!$D$23&gt;G28,Parameters!$D$23&lt;=H28),(H28-Parameters!$D$23)*H37,IF(Parameters!$D$23&lt;=H28,H37,0))</f>
        <v>5.508210091852341E-06</v>
      </c>
      <c r="I40" s="198">
        <f>IF(AND(Parameters!$D$23&gt;H28,Parameters!$D$23&lt;=I28),(I28-Parameters!$D$23)*I37,IF(Parameters!$D$23&lt;=I28,I37,0))</f>
        <v>5.559877893689387E-06</v>
      </c>
      <c r="J40" s="198">
        <f>IF(AND(Parameters!$D$23&gt;I28,Parameters!$D$23&lt;=J28),(J28-Parameters!$D$23)*J37,IF(Parameters!$D$23&lt;=J28,J37,0))</f>
        <v>5.612579051563175E-06</v>
      </c>
      <c r="K40" s="198">
        <f>IF(AND(Parameters!$D$23&gt;J28,Parameters!$D$23&lt;=K28),(K28-Parameters!$D$23)*K37,IF(Parameters!$D$23&lt;=K28,K37,0))</f>
        <v>5.6663342325944375E-06</v>
      </c>
      <c r="L40" s="198">
        <f>IF(AND(Parameters!$D$23&gt;K28,Parameters!$D$23&lt;=L28),(L28-Parameters!$D$23)*L37,IF(Parameters!$D$23&lt;=L28,L37,0))</f>
        <v>5.721164517246327E-06</v>
      </c>
    </row>
    <row r="41" ht="12.75"/>
    <row r="42" spans="2:12" ht="12.75">
      <c r="B42" s="192" t="s">
        <v>7</v>
      </c>
      <c r="C42" s="303">
        <f>(Parameters!C42*Parameters!C15)</f>
        <v>0.9704723762512208</v>
      </c>
      <c r="D42" s="304">
        <f>IF(D$5&lt;=Parameters!$C$118,C42+(C42*Parameters!$C44),0)</f>
        <v>0.980177100013733</v>
      </c>
      <c r="E42" s="304">
        <f>IF(E$5&lt;=Parameters!$C$118,D42+(D42*Parameters!$C44),0)</f>
        <v>0.9899788710138704</v>
      </c>
      <c r="F42" s="304">
        <f>IF(F$5&lt;=Parameters!$C$118,E42+(E42*Parameters!$C44),0)</f>
        <v>0.9998786597240091</v>
      </c>
      <c r="G42" s="304">
        <f>IF(G$5&lt;=Parameters!$C$118,F42+(F42*Parameters!$C44),0)</f>
        <v>1.0098774463212492</v>
      </c>
      <c r="H42" s="304">
        <f>IF(H$5&lt;=Parameters!$C$118,G42+(G42*Parameters!$C44),0)</f>
        <v>1.0199762207844616</v>
      </c>
      <c r="I42" s="304">
        <f>IF(I$5&lt;=Parameters!$C$118,H42+(H42*Parameters!$C44),0)</f>
        <v>1.0301759829923063</v>
      </c>
      <c r="J42" s="304">
        <f>IF(J$5&lt;=Parameters!$C$118,I42+(I42*Parameters!$C44),0)</f>
        <v>1.0404777428222294</v>
      </c>
      <c r="K42" s="304">
        <f>IF(K$5&lt;=Parameters!$C$118,J42+(J42*Parameters!$C44),0)</f>
        <v>1.0508825202504517</v>
      </c>
      <c r="L42" s="304">
        <f>IF(L$5&lt;=Parameters!$C$118,K42+(K42*Parameters!$C44),0)</f>
        <v>1.0613913454529562</v>
      </c>
    </row>
    <row r="43" spans="2:12" s="289" customFormat="1" ht="12.75">
      <c r="B43" s="194" t="s">
        <v>300</v>
      </c>
      <c r="C43" s="198">
        <f>IF(Parameters!$D$23&lt;=C28,(C28-Parameters!$D$23)*C42,0)</f>
        <v>0.7278542821884156</v>
      </c>
      <c r="D43" s="198">
        <f>IF(AND(Parameters!$D$23&gt;C28,Parameters!$D$23&lt;=D28),(D28-Parameters!$D$23)*D42,IF(Parameters!$D$23&lt;=D28,D42,0))</f>
        <v>0.980177100013733</v>
      </c>
      <c r="E43" s="198">
        <f>IF(AND(Parameters!$D$23&gt;D28,Parameters!$D$23&lt;=E28),(E28-Parameters!$D$23)*E42,IF(Parameters!$D$23&lt;=E28,E42,0))</f>
        <v>0.9899788710138704</v>
      </c>
      <c r="F43" s="198">
        <f>IF(AND(Parameters!$D$23&gt;E28,Parameters!$D$23&lt;=F28),(F28-Parameters!$D$23)*F42,IF(Parameters!$D$23&lt;=F28,F42,0))</f>
        <v>0.9998786597240091</v>
      </c>
      <c r="G43" s="198">
        <f>IF(AND(Parameters!$D$23&gt;F28,Parameters!$D$23&lt;=G28),(G28-Parameters!$D$23)*G42,IF(Parameters!$D$23&lt;=G28,G42,0))</f>
        <v>1.0098774463212492</v>
      </c>
      <c r="H43" s="198">
        <f>IF(AND(Parameters!$D$23&gt;G28,Parameters!$D$23&lt;=H28),(H28-Parameters!$D$23)*H42,IF(Parameters!$D$23&lt;=H28,H42,0))</f>
        <v>1.0199762207844616</v>
      </c>
      <c r="I43" s="198">
        <f>IF(AND(Parameters!$D$23&gt;H28,Parameters!$D$23&lt;=I28),(I28-Parameters!$D$23)*I42,IF(Parameters!$D$23&lt;=I28,I42,0))</f>
        <v>1.0301759829923063</v>
      </c>
      <c r="J43" s="198">
        <f>IF(AND(Parameters!$D$23&gt;I28,Parameters!$D$23&lt;=J28),(J28-Parameters!$D$23)*J42,IF(Parameters!$D$23&lt;=J28,J42,0))</f>
        <v>1.0404777428222294</v>
      </c>
      <c r="K43" s="198">
        <f>IF(AND(Parameters!$D$23&gt;J28,Parameters!$D$23&lt;=K28),(K28-Parameters!$D$23)*K42,IF(Parameters!$D$23&lt;=K28,K42,0))</f>
        <v>1.0508825202504517</v>
      </c>
      <c r="L43" s="198">
        <f>IF(AND(Parameters!$D$23&gt;K28,Parameters!$D$23&lt;=L28),(L28-Parameters!$D$23)*L42,IF(Parameters!$D$23&lt;=L28,L42,0))</f>
        <v>1.0613913454529562</v>
      </c>
    </row>
    <row r="44" spans="2:12" ht="12.75">
      <c r="B44" s="192" t="s">
        <v>27</v>
      </c>
      <c r="C44" s="304">
        <f>(Parameters!C38*Parameters!C15)</f>
        <v>0.9704723762512208</v>
      </c>
      <c r="D44" s="304">
        <f>(Parameters!C38*Parameters!C15)</f>
        <v>0.9704723762512208</v>
      </c>
      <c r="E44" s="304">
        <f>IF(E$5&lt;=Parameters!$C$118,D44+(D44*Parameters!$C40),0)</f>
        <v>1.018995995063782</v>
      </c>
      <c r="F44" s="304">
        <f>IF(F$5&lt;=Parameters!$C$118,E44+(E44*Parameters!$C40),0)</f>
        <v>1.069945794816971</v>
      </c>
      <c r="G44" s="304">
        <f>IF(G$5&lt;=Parameters!$C$118,F44+(F44*Parameters!$C40),0)</f>
        <v>1.1234430845578196</v>
      </c>
      <c r="H44" s="304">
        <f>IF(H$5&lt;=Parameters!$C$118,G44+(G44*Parameters!$C40),0)</f>
        <v>1.1796152387857106</v>
      </c>
      <c r="I44" s="304">
        <f>IF(I$5&lt;=Parameters!$C$118,H44+(H44*Parameters!$C40),0)</f>
        <v>1.238596000724996</v>
      </c>
      <c r="J44" s="304">
        <f>IF(J$5&lt;=Parameters!$C$118,I44+(I44*Parameters!$C40),0)</f>
        <v>1.300525800761246</v>
      </c>
      <c r="K44" s="304">
        <f>IF(K$5&lt;=Parameters!$C$118,J44+(J44*Parameters!$C40),0)</f>
        <v>1.3655520907993082</v>
      </c>
      <c r="L44" s="304">
        <f>IF(L$5&lt;=Parameters!$C$118,K44+(K44*Parameters!$C40),0)</f>
        <v>1.4338296953392735</v>
      </c>
    </row>
    <row r="45" spans="2:12" s="289" customFormat="1" ht="12.75">
      <c r="B45" s="194" t="s">
        <v>301</v>
      </c>
      <c r="C45" s="198">
        <f>IF(Parameters!$D$23&lt;=C28,(C28-Parameters!$D$23)*C44,0)</f>
        <v>0.7278542821884156</v>
      </c>
      <c r="D45" s="198">
        <f>IF(AND(Parameters!$D$23&gt;C28,Parameters!$D$23&lt;=D28),(D28-Parameters!$D$23)*D44,IF(Parameters!$D$23&lt;=D28,D44,0))</f>
        <v>0.9704723762512208</v>
      </c>
      <c r="E45" s="198">
        <f>IF(AND(Parameters!$D$23&gt;D28,Parameters!$D$23&lt;=E28),(E28-Parameters!$D$23)*E44,IF(Parameters!$D$23&lt;=E28,E44,0))</f>
        <v>1.018995995063782</v>
      </c>
      <c r="F45" s="198">
        <f>IF(AND(Parameters!$D$23&gt;E28,Parameters!$D$23&lt;=F28),(F28-Parameters!$D$23)*F44,IF(Parameters!$D$23&lt;=F28,F44,0))</f>
        <v>1.069945794816971</v>
      </c>
      <c r="G45" s="198">
        <f>IF(AND(Parameters!$D$23&gt;F28,Parameters!$D$23&lt;=G28),(G28-Parameters!$D$23)*G44,IF(Parameters!$D$23&lt;=G28,G44,0))</f>
        <v>1.1234430845578196</v>
      </c>
      <c r="H45" s="198">
        <f>IF(AND(Parameters!$D$23&gt;G28,Parameters!$D$23&lt;=H28),(H28-Parameters!$D$23)*H44,IF(Parameters!$D$23&lt;=H28,H44,0))</f>
        <v>1.1796152387857106</v>
      </c>
      <c r="I45" s="198">
        <f>IF(AND(Parameters!$D$23&gt;H28,Parameters!$D$23&lt;=I28),(I28-Parameters!$D$23)*I44,IF(Parameters!$D$23&lt;=I28,I44,0))</f>
        <v>1.238596000724996</v>
      </c>
      <c r="J45" s="198">
        <f>IF(AND(Parameters!$D$23&gt;I28,Parameters!$D$23&lt;=J28),(J28-Parameters!$D$23)*J44,IF(Parameters!$D$23&lt;=J28,J44,0))</f>
        <v>1.300525800761246</v>
      </c>
      <c r="K45" s="198">
        <f>IF(AND(Parameters!$D$23&gt;J28,Parameters!$D$23&lt;=K28),(K28-Parameters!$D$23)*K44,IF(Parameters!$D$23&lt;=K28,K44,0))</f>
        <v>1.3655520907993082</v>
      </c>
      <c r="L45" s="198">
        <f>IF(AND(Parameters!$D$23&gt;K28,Parameters!$D$23&lt;=L28),(L28-Parameters!$D$23)*L44,IF(Parameters!$D$23&lt;=L28,L44,0))</f>
        <v>1.4338296953392735</v>
      </c>
    </row>
    <row r="46" spans="2:13" ht="12.75">
      <c r="B46" s="192" t="s">
        <v>241</v>
      </c>
      <c r="C46" s="382">
        <f>Parameters!C46</f>
        <v>1</v>
      </c>
      <c r="D46" s="382">
        <f>IF(D$5&lt;=Parameters!$C$118,C46,0)</f>
        <v>1</v>
      </c>
      <c r="E46" s="382">
        <f>IF(E$5&lt;=Parameters!$C$118,D46,0)</f>
        <v>1</v>
      </c>
      <c r="F46" s="382">
        <f>IF(F$5&lt;=Parameters!$C$118,E46,0)</f>
        <v>1</v>
      </c>
      <c r="G46" s="382">
        <f>IF(G$5&lt;=Parameters!$C$118,F46,0)</f>
        <v>1</v>
      </c>
      <c r="H46" s="382">
        <f>IF(H$5&lt;=Parameters!$C$118,G46,0)</f>
        <v>1</v>
      </c>
      <c r="I46" s="382">
        <f>IF(I$5&lt;=Parameters!$C$118,H46,0)</f>
        <v>1</v>
      </c>
      <c r="J46" s="382">
        <f>IF(J$5&lt;=Parameters!$C$118,I46,0)</f>
        <v>1</v>
      </c>
      <c r="K46" s="382">
        <f>IF(K$5&lt;=Parameters!$C$118,J46,0)</f>
        <v>1</v>
      </c>
      <c r="L46" s="382">
        <f>IF(L$5&lt;=Parameters!$C$118,K46,0)</f>
        <v>1</v>
      </c>
      <c r="M46" s="195">
        <f>IF(M$5&lt;=Parameters!$C$118,L46,0)</f>
        <v>1</v>
      </c>
    </row>
    <row r="47" spans="2:12" s="289" customFormat="1" ht="12.75">
      <c r="B47" s="194" t="s">
        <v>302</v>
      </c>
      <c r="C47" s="198">
        <f>IF(Parameters!$D$23&lt;=C28,(C28-Parameters!$D$23)*C46,0)</f>
        <v>0.75</v>
      </c>
      <c r="D47" s="198">
        <f>IF(AND(Parameters!$D$23&gt;C28,Parameters!$D$23&lt;=D28),(D28-Parameters!$D$23)*D46,IF(Parameters!$D$23&lt;=D28,D46,0))</f>
        <v>1</v>
      </c>
      <c r="E47" s="198">
        <f>IF(AND(Parameters!$D$23&gt;D28,Parameters!$D$23&lt;=E28),(E28-Parameters!$D$23)*E46,IF(Parameters!$D$23&lt;=E28,E46,0))</f>
        <v>1</v>
      </c>
      <c r="F47" s="198">
        <f>IF(AND(Parameters!$D$23&gt;E28,Parameters!$D$23&lt;=F28),(F28-Parameters!$D$23)*F46,IF(Parameters!$D$23&lt;=F28,F46,0))</f>
        <v>1</v>
      </c>
      <c r="G47" s="198">
        <f>IF(AND(Parameters!$D$23&gt;F28,Parameters!$D$23&lt;=G28),(G28-Parameters!$D$23)*G46,IF(Parameters!$D$23&lt;=G28,G46,0))</f>
        <v>1</v>
      </c>
      <c r="H47" s="198">
        <f>IF(AND(Parameters!$D$23&gt;G28,Parameters!$D$23&lt;=H28),(H28-Parameters!$D$23)*H46,IF(Parameters!$D$23&lt;=H28,H46,0))</f>
        <v>1</v>
      </c>
      <c r="I47" s="198">
        <f>IF(AND(Parameters!$D$23&gt;H28,Parameters!$D$23&lt;=I28),(I28-Parameters!$D$23)*I46,IF(Parameters!$D$23&lt;=I28,I46,0))</f>
        <v>1</v>
      </c>
      <c r="J47" s="198">
        <f>IF(AND(Parameters!$D$23&gt;I28,Parameters!$D$23&lt;=J28),(J28-Parameters!$D$23)*J46,IF(Parameters!$D$23&lt;=J28,J46,0))</f>
        <v>1</v>
      </c>
      <c r="K47" s="198">
        <f>IF(AND(Parameters!$D$23&gt;J28,Parameters!$D$23&lt;=K28),(K28-Parameters!$D$23)*K46,IF(Parameters!$D$23&lt;=K28,K46,0))</f>
        <v>1</v>
      </c>
      <c r="L47" s="198">
        <f>IF(AND(Parameters!$D$23&gt;K28,Parameters!$D$23&lt;=L28),(L28-Parameters!$D$23)*L46,IF(Parameters!$D$23&lt;=L28,L46,0))</f>
        <v>1</v>
      </c>
    </row>
    <row r="48" ht="12.75"/>
    <row r="49" spans="2:12" ht="12.75">
      <c r="B49" s="192" t="s">
        <v>304</v>
      </c>
      <c r="C49" s="303">
        <f>'Depr as per Company'!D56</f>
        <v>6.1776</v>
      </c>
      <c r="D49" s="303">
        <f>'Depr as per Company'!E56</f>
        <v>6.1776</v>
      </c>
      <c r="E49" s="303">
        <f>'Depr as per Company'!F56</f>
        <v>6.1776</v>
      </c>
      <c r="F49" s="303">
        <f>'Depr as per Company'!G56</f>
        <v>6.1776</v>
      </c>
      <c r="G49" s="303">
        <f>'Depr as per Company'!H56</f>
        <v>6.1776</v>
      </c>
      <c r="H49" s="303">
        <f>'Depr as per Company'!I56</f>
        <v>6.1776</v>
      </c>
      <c r="I49" s="303">
        <f>'Depr as per Company'!J56</f>
        <v>6.1776</v>
      </c>
      <c r="J49" s="303">
        <f>'Depr as per Company'!K56</f>
        <v>6.1776</v>
      </c>
      <c r="K49" s="303">
        <f>'Depr as per Company'!L56</f>
        <v>6.1776</v>
      </c>
      <c r="L49" s="303">
        <f>'Depr as per Company'!M56</f>
        <v>6.1776</v>
      </c>
    </row>
    <row r="50" spans="2:13" s="289" customFormat="1" ht="12.75">
      <c r="B50" s="194" t="s">
        <v>303</v>
      </c>
      <c r="C50" s="198">
        <f>IF(Parameters!$D$23&lt;=C28,(C28-Parameters!$D$23)*C49,0)</f>
        <v>4.6332</v>
      </c>
      <c r="D50" s="198">
        <f>IF(AND(Parameters!$D$23&gt;C28,Parameters!$D$23&lt;=D28),(D28-Parameters!$D$23)*D49,IF(Parameters!$D$23&lt;=D28,D49,0))</f>
        <v>6.1776</v>
      </c>
      <c r="E50" s="198">
        <f>IF(AND(Parameters!$D$23&gt;D28,Parameters!$D$23&lt;=E28),(E28-Parameters!$D$23)*E49,IF(Parameters!$D$23&lt;=E28,E49,0))</f>
        <v>6.1776</v>
      </c>
      <c r="F50" s="198">
        <f>IF(AND(Parameters!$D$23&gt;E28,Parameters!$D$23&lt;=F28),(F28-Parameters!$D$23)*F49,IF(Parameters!$D$23&lt;=F28,F49,0))</f>
        <v>6.1776</v>
      </c>
      <c r="G50" s="198">
        <f>IF(AND(Parameters!$D$23&gt;F28,Parameters!$D$23&lt;=G28),(G28-Parameters!$D$23)*G49,IF(Parameters!$D$23&lt;=G28,G49,0))</f>
        <v>6.1776</v>
      </c>
      <c r="H50" s="198">
        <f>IF(AND(Parameters!$D$23&gt;G28,Parameters!$D$23&lt;=H28),(H28-Parameters!$D$23)*H49,IF(Parameters!$D$23&lt;=H28,H49,0))</f>
        <v>6.1776</v>
      </c>
      <c r="I50" s="198">
        <f>IF(AND(Parameters!$D$23&gt;H28,Parameters!$D$23&lt;=I28),(I28-Parameters!$D$23)*I49,IF(Parameters!$D$23&lt;=I28,I49,0))</f>
        <v>6.1776</v>
      </c>
      <c r="J50" s="198">
        <f>IF(AND(Parameters!$D$23&gt;I28,Parameters!$D$23&lt;=J28),(J28-Parameters!$D$23)*J49,IF(Parameters!$D$23&lt;=J28,J49,0))</f>
        <v>6.1776</v>
      </c>
      <c r="K50" s="198">
        <f>IF(AND(Parameters!$D$23&gt;J28,Parameters!$D$23&lt;=K28),(K28-Parameters!$D$23)*K49,IF(Parameters!$D$23&lt;=K28,K49,0))</f>
        <v>6.1776</v>
      </c>
      <c r="L50" s="198">
        <f>IF(AND(Parameters!$D$23&gt;K28,Parameters!$D$23&lt;=L28),(L28-Parameters!$D$23)*L49,IF(Parameters!$D$23&lt;=L28,L49,0))</f>
        <v>6.1776</v>
      </c>
      <c r="M50" s="305">
        <f>IF(AND(Parameters!$D$23&gt;L28,Parameters!$D$23&lt;=M28),(M28-Parameters!$D$23)*M49,IF(Parameters!$D$23&lt;=M28,M49,0))</f>
        <v>0</v>
      </c>
    </row>
    <row r="51" spans="3:13" ht="12.75"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</row>
    <row r="52" spans="2:13" ht="12.75">
      <c r="B52" s="192" t="s">
        <v>305</v>
      </c>
      <c r="C52" s="198">
        <f>Interest!J16</f>
        <v>6.560172355551469</v>
      </c>
      <c r="D52" s="198">
        <f>Interest!J28</f>
        <v>7.0140207575078595</v>
      </c>
      <c r="E52" s="198">
        <f>Interest!J40</f>
        <v>5.0335913671527</v>
      </c>
      <c r="F52" s="198">
        <f>Interest!J52</f>
        <v>3.053161976797539</v>
      </c>
      <c r="G52" s="198">
        <f>Interest!J64</f>
        <v>1.0727325864423787</v>
      </c>
      <c r="H52" s="198">
        <f>Interest!J76</f>
        <v>0</v>
      </c>
      <c r="I52" s="198">
        <f>Interest!J88</f>
        <v>0</v>
      </c>
      <c r="J52" s="198">
        <f>Interest!J100</f>
        <v>0</v>
      </c>
      <c r="K52" s="198">
        <f>Interest!J112</f>
        <v>0</v>
      </c>
      <c r="L52" s="198">
        <f>Interest!J124</f>
        <v>0</v>
      </c>
      <c r="M52" s="288"/>
    </row>
    <row r="53" spans="2:13" ht="12.75">
      <c r="B53" s="192" t="s">
        <v>306</v>
      </c>
      <c r="C53" s="198">
        <f>IF(Parameters!$D$23&lt;=C28,(C28-Parameters!$D$23)*C52,0)</f>
        <v>4.920129266663602</v>
      </c>
      <c r="D53" s="198">
        <f>IF(AND(Parameters!$D$23&gt;C28,Parameters!$D$23&lt;=D28),(D28-Parameters!$D$23)*D52,IF(Parameters!$D$23&lt;=D28,D52,0))</f>
        <v>7.0140207575078595</v>
      </c>
      <c r="E53" s="198">
        <f>IF(AND(Parameters!$D$23&gt;D28,Parameters!$D$23&lt;=E28),(E28-Parameters!$D$23)*E52,IF(Parameters!$D$23&lt;=E28,E52,0))</f>
        <v>5.0335913671527</v>
      </c>
      <c r="F53" s="198">
        <f>IF(AND(Parameters!$D$23&gt;E28,Parameters!$D$23&lt;=F28),(F28-Parameters!$D$23)*F52,IF(Parameters!$D$23&lt;=F28,F52,0))</f>
        <v>3.053161976797539</v>
      </c>
      <c r="G53" s="198">
        <f>IF(AND(Parameters!$D$23&gt;F28,Parameters!$D$23&lt;=G28),(G28-Parameters!$D$23)*G52,IF(Parameters!$D$23&lt;=G28,G52,0))</f>
        <v>1.0727325864423787</v>
      </c>
      <c r="H53" s="198">
        <f>IF(AND(Parameters!$D$23&gt;G28,Parameters!$D$23&lt;=H28),(H28-Parameters!$D$23)*H52,IF(Parameters!$D$23&lt;=H28,H52,0))</f>
        <v>0</v>
      </c>
      <c r="I53" s="198">
        <f>IF(AND(Parameters!$D$23&gt;H28,Parameters!$D$23&lt;=I28),(I28-Parameters!$D$23)*I52,IF(Parameters!$D$23&lt;=I28,I52,0))</f>
        <v>0</v>
      </c>
      <c r="J53" s="198">
        <f>IF(AND(Parameters!$D$23&gt;I28,Parameters!$D$23&lt;=J28),(J28-Parameters!$D$23)*J52,IF(Parameters!$D$23&lt;=J28,J52,0))</f>
        <v>0</v>
      </c>
      <c r="K53" s="198">
        <f>IF(AND(Parameters!$D$23&gt;J28,Parameters!$D$23&lt;=K28),(K28-Parameters!$D$23)*K52,IF(Parameters!$D$23&lt;=K28,K52,0))</f>
        <v>0</v>
      </c>
      <c r="L53" s="198">
        <f>IF(AND(Parameters!$D$23&gt;K28,Parameters!$D$23&lt;=L28),(L28-Parameters!$D$23)*L52,IF(Parameters!$D$23&lt;=L28,L52,0))</f>
        <v>0</v>
      </c>
      <c r="M53" s="288"/>
    </row>
    <row r="54" spans="3:13" ht="12.75"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</row>
    <row r="55" spans="3:13" ht="12.75"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</row>
    <row r="56" spans="3:13" ht="12.75"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</row>
    <row r="57" spans="3:13" ht="12.75"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</row>
    <row r="58" spans="3:13" ht="12.75"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</row>
    <row r="59" spans="3:13" ht="12.75"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3:13" ht="12.75"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</row>
    <row r="61" ht="12.75"/>
    <row r="62" ht="12.75"/>
  </sheetData>
  <sheetProtection password="DAD4" sheet="1"/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M48"/>
  <sheetViews>
    <sheetView zoomScaleSheetLayoutView="100" workbookViewId="0" topLeftCell="A1">
      <selection activeCell="A16" sqref="A16"/>
    </sheetView>
  </sheetViews>
  <sheetFormatPr defaultColWidth="0" defaultRowHeight="12.75" zeroHeight="1"/>
  <cols>
    <col min="1" max="1" width="2.8515625" style="667" customWidth="1"/>
    <col min="2" max="2" width="30.57421875" style="667" bestFit="1" customWidth="1"/>
    <col min="3" max="9" width="14.28125" style="684" bestFit="1" customWidth="1"/>
    <col min="10" max="11" width="14.28125" style="684" customWidth="1"/>
    <col min="12" max="12" width="14.28125" style="684" bestFit="1" customWidth="1"/>
    <col min="13" max="13" width="0.85546875" style="667" customWidth="1"/>
    <col min="14" max="16384" width="9.140625" style="667" hidden="1" customWidth="1"/>
  </cols>
  <sheetData>
    <row r="1" spans="1:12" ht="12.75">
      <c r="A1" s="662" t="str">
        <f>Parameters!$C$3</f>
        <v>Darashaw &amp; Co.</v>
      </c>
      <c r="B1" s="663"/>
      <c r="C1" s="664"/>
      <c r="D1" s="664"/>
      <c r="E1" s="664"/>
      <c r="F1" s="664"/>
      <c r="G1" s="665"/>
      <c r="H1" s="664"/>
      <c r="I1" s="664"/>
      <c r="J1" s="664"/>
      <c r="K1" s="664"/>
      <c r="L1" s="666"/>
    </row>
    <row r="2" spans="1:12" ht="12.75">
      <c r="A2" s="668" t="str">
        <f>Parameters!$C$4</f>
        <v>Shirdi Nagar Panchyat Street Light</v>
      </c>
      <c r="B2" s="669"/>
      <c r="C2" s="670"/>
      <c r="D2" s="670"/>
      <c r="E2" s="670"/>
      <c r="F2" s="670"/>
      <c r="G2" s="670"/>
      <c r="H2" s="670"/>
      <c r="I2" s="670"/>
      <c r="J2" s="670"/>
      <c r="K2" s="670"/>
      <c r="L2" s="671"/>
    </row>
    <row r="3" spans="1:12" ht="5.25" customHeight="1">
      <c r="A3" s="668"/>
      <c r="B3" s="669"/>
      <c r="C3" s="670"/>
      <c r="D3" s="670"/>
      <c r="E3" s="670"/>
      <c r="F3" s="670"/>
      <c r="G3" s="670"/>
      <c r="H3" s="670"/>
      <c r="I3" s="670"/>
      <c r="J3" s="670"/>
      <c r="K3" s="670"/>
      <c r="L3" s="671"/>
    </row>
    <row r="4" spans="1:12" ht="12.75">
      <c r="A4" s="686" t="s">
        <v>22</v>
      </c>
      <c r="B4" s="687"/>
      <c r="C4" s="688"/>
      <c r="D4" s="688"/>
      <c r="E4" s="688"/>
      <c r="F4" s="688"/>
      <c r="G4" s="688"/>
      <c r="H4" s="689" t="s">
        <v>23</v>
      </c>
      <c r="I4" s="690" t="str">
        <f>CONCATENATE(Parameters!C11," ",Parameters!C12)</f>
        <v>INR Lacs</v>
      </c>
      <c r="J4" s="690"/>
      <c r="K4" s="690"/>
      <c r="L4" s="691"/>
    </row>
    <row r="5" spans="1:12" ht="12.75">
      <c r="A5" s="692" t="s">
        <v>17</v>
      </c>
      <c r="B5" s="640" t="s">
        <v>24</v>
      </c>
      <c r="C5" s="693">
        <f>Saving!D7</f>
        <v>1</v>
      </c>
      <c r="D5" s="693">
        <f>Saving!E7</f>
        <v>2</v>
      </c>
      <c r="E5" s="693">
        <f>Saving!F7</f>
        <v>3</v>
      </c>
      <c r="F5" s="693">
        <f>Saving!G7</f>
        <v>4</v>
      </c>
      <c r="G5" s="693">
        <f>Saving!H7</f>
        <v>5</v>
      </c>
      <c r="H5" s="693">
        <f>Saving!I7</f>
        <v>6</v>
      </c>
      <c r="I5" s="693">
        <f>Saving!J7</f>
        <v>7</v>
      </c>
      <c r="J5" s="693">
        <f>Saving!K7</f>
        <v>8</v>
      </c>
      <c r="K5" s="693">
        <f>Saving!L7</f>
        <v>9</v>
      </c>
      <c r="L5" s="693">
        <f>Saving!M7</f>
        <v>10</v>
      </c>
    </row>
    <row r="6" spans="1:12" ht="12.75">
      <c r="A6" s="694"/>
      <c r="B6" s="634" t="str">
        <f>Saving!B17</f>
        <v>Total Savings Realization from project</v>
      </c>
      <c r="C6" s="645">
        <f>Saving!D17/1.1236</f>
        <v>44.902617058739764</v>
      </c>
      <c r="D6" s="645">
        <f>Saving!E17/1.1236</f>
        <v>47.931788842128874</v>
      </c>
      <c r="E6" s="645">
        <f>Saving!F17/1.1236</f>
        <v>51.220045106182354</v>
      </c>
      <c r="F6" s="645">
        <f>Saving!G17/1.1236</f>
        <v>54.79197931803639</v>
      </c>
      <c r="G6" s="645">
        <f>Saving!H17/1.1236</f>
        <v>58.67460484211292</v>
      </c>
      <c r="H6" s="645">
        <f>Saving!I17/1.1236</f>
        <v>62.897595746365276</v>
      </c>
      <c r="I6" s="645">
        <f>Saving!J17/1.1236</f>
        <v>67.49355165364409</v>
      </c>
      <c r="J6" s="645">
        <f>Saving!K17/1.1236</f>
        <v>72.49828904163007</v>
      </c>
      <c r="K6" s="645">
        <f>Saving!L17/1.1236</f>
        <v>77.9511616350933</v>
      </c>
      <c r="L6" s="645">
        <f>Saving!M17/1.1236</f>
        <v>83.89541279858183</v>
      </c>
    </row>
    <row r="7" spans="1:12" ht="12.75">
      <c r="A7" s="692"/>
      <c r="B7" s="634" t="s">
        <v>443</v>
      </c>
      <c r="C7" s="645">
        <f>(C6)*12.36%</f>
        <v>5.549963468460234</v>
      </c>
      <c r="D7" s="645">
        <f aca="true" t="shared" si="0" ref="D7:L7">(D6)*12.36%</f>
        <v>5.924369100887128</v>
      </c>
      <c r="E7" s="645">
        <f t="shared" si="0"/>
        <v>6.330797575124138</v>
      </c>
      <c r="F7" s="645">
        <f t="shared" si="0"/>
        <v>6.772288643709297</v>
      </c>
      <c r="G7" s="645">
        <f t="shared" si="0"/>
        <v>7.252181158485156</v>
      </c>
      <c r="H7" s="645">
        <f t="shared" si="0"/>
        <v>7.774142834250747</v>
      </c>
      <c r="I7" s="645">
        <f t="shared" si="0"/>
        <v>8.34220298439041</v>
      </c>
      <c r="J7" s="645">
        <f t="shared" si="0"/>
        <v>8.960788525545476</v>
      </c>
      <c r="K7" s="645">
        <f t="shared" si="0"/>
        <v>9.63476357809753</v>
      </c>
      <c r="L7" s="645">
        <f t="shared" si="0"/>
        <v>10.369473021904714</v>
      </c>
    </row>
    <row r="8" spans="1:12" ht="12.75">
      <c r="A8" s="692"/>
      <c r="B8" s="640" t="s">
        <v>25</v>
      </c>
      <c r="C8" s="695">
        <f aca="true" t="shared" si="1" ref="C8:L8">(SUM(C6:C7))</f>
        <v>50.4525805272</v>
      </c>
      <c r="D8" s="695">
        <f t="shared" si="1"/>
        <v>53.856157943016</v>
      </c>
      <c r="E8" s="695">
        <f t="shared" si="1"/>
        <v>57.55084268130649</v>
      </c>
      <c r="F8" s="695">
        <f t="shared" si="1"/>
        <v>61.564267961745685</v>
      </c>
      <c r="G8" s="695">
        <f t="shared" si="1"/>
        <v>65.92678600059807</v>
      </c>
      <c r="H8" s="695">
        <f t="shared" si="1"/>
        <v>70.67173858061602</v>
      </c>
      <c r="I8" s="695">
        <f t="shared" si="1"/>
        <v>75.8357546380345</v>
      </c>
      <c r="J8" s="695">
        <f t="shared" si="1"/>
        <v>81.45907756717556</v>
      </c>
      <c r="K8" s="695">
        <f t="shared" si="1"/>
        <v>87.58592521319083</v>
      </c>
      <c r="L8" s="695">
        <f t="shared" si="1"/>
        <v>94.26488582048654</v>
      </c>
    </row>
    <row r="9" spans="1:12" ht="12.75">
      <c r="A9" s="692"/>
      <c r="B9" s="634"/>
      <c r="C9" s="645"/>
      <c r="D9" s="645"/>
      <c r="E9" s="645"/>
      <c r="F9" s="645"/>
      <c r="G9" s="645"/>
      <c r="H9" s="645"/>
      <c r="I9" s="645"/>
      <c r="J9" s="645"/>
      <c r="K9" s="645"/>
      <c r="L9" s="696"/>
    </row>
    <row r="10" spans="1:12" ht="12.75">
      <c r="A10" s="692" t="s">
        <v>19</v>
      </c>
      <c r="B10" s="640" t="s">
        <v>26</v>
      </c>
      <c r="C10" s="645"/>
      <c r="D10" s="645"/>
      <c r="E10" s="645"/>
      <c r="F10" s="645"/>
      <c r="G10" s="645"/>
      <c r="H10" s="645"/>
      <c r="I10" s="645"/>
      <c r="J10" s="645"/>
      <c r="K10" s="645"/>
      <c r="L10" s="696"/>
    </row>
    <row r="11" spans="1:12" ht="12.75">
      <c r="A11" s="692"/>
      <c r="B11" s="634" t="s">
        <v>241</v>
      </c>
      <c r="C11" s="645">
        <f>'Oper Exp'!C47</f>
        <v>0.75</v>
      </c>
      <c r="D11" s="645">
        <f>'Oper Exp'!D47</f>
        <v>1</v>
      </c>
      <c r="E11" s="645">
        <f>'Oper Exp'!E47</f>
        <v>1</v>
      </c>
      <c r="F11" s="645">
        <f>'Oper Exp'!F47</f>
        <v>1</v>
      </c>
      <c r="G11" s="645">
        <f>'Oper Exp'!G47</f>
        <v>1</v>
      </c>
      <c r="H11" s="645">
        <f>'Oper Exp'!H47</f>
        <v>1</v>
      </c>
      <c r="I11" s="645">
        <f>'Oper Exp'!I47</f>
        <v>1</v>
      </c>
      <c r="J11" s="645">
        <f>'Oper Exp'!J47</f>
        <v>1</v>
      </c>
      <c r="K11" s="645">
        <f>'Oper Exp'!K47</f>
        <v>1</v>
      </c>
      <c r="L11" s="645">
        <f>'Oper Exp'!L47</f>
        <v>1</v>
      </c>
    </row>
    <row r="12" spans="1:12" ht="12.75">
      <c r="A12" s="692"/>
      <c r="B12" s="634" t="s">
        <v>27</v>
      </c>
      <c r="C12" s="645">
        <f>'Oper Exp'!C45</f>
        <v>0.7278542821884156</v>
      </c>
      <c r="D12" s="645">
        <f>'Oper Exp'!D45</f>
        <v>0.9704723762512208</v>
      </c>
      <c r="E12" s="645">
        <f>'Oper Exp'!E45</f>
        <v>1.018995995063782</v>
      </c>
      <c r="F12" s="645">
        <f>'Oper Exp'!F45</f>
        <v>1.069945794816971</v>
      </c>
      <c r="G12" s="645">
        <f>'Oper Exp'!G45</f>
        <v>1.1234430845578196</v>
      </c>
      <c r="H12" s="645">
        <f>'Oper Exp'!H45</f>
        <v>1.1796152387857106</v>
      </c>
      <c r="I12" s="645">
        <f>'Oper Exp'!I45</f>
        <v>1.238596000724996</v>
      </c>
      <c r="J12" s="645">
        <f>'Oper Exp'!J45</f>
        <v>1.300525800761246</v>
      </c>
      <c r="K12" s="645">
        <f>'Oper Exp'!K45</f>
        <v>1.3655520907993082</v>
      </c>
      <c r="L12" s="645">
        <f>'Oper Exp'!L45</f>
        <v>1.4338296953392735</v>
      </c>
    </row>
    <row r="13" spans="1:12" ht="12.75">
      <c r="A13" s="692"/>
      <c r="B13" s="634" t="s">
        <v>7</v>
      </c>
      <c r="C13" s="645">
        <f>'Oper Exp'!C43</f>
        <v>0.7278542821884156</v>
      </c>
      <c r="D13" s="645">
        <f>'Oper Exp'!D43</f>
        <v>0.980177100013733</v>
      </c>
      <c r="E13" s="645">
        <f>'Oper Exp'!E43</f>
        <v>0.9899788710138704</v>
      </c>
      <c r="F13" s="645">
        <f>'Oper Exp'!F43</f>
        <v>0.9998786597240091</v>
      </c>
      <c r="G13" s="645">
        <f>'Oper Exp'!G43</f>
        <v>1.0098774463212492</v>
      </c>
      <c r="H13" s="645">
        <f>'Oper Exp'!H43</f>
        <v>1.0199762207844616</v>
      </c>
      <c r="I13" s="645">
        <f>'Oper Exp'!I43</f>
        <v>1.0301759829923063</v>
      </c>
      <c r="J13" s="645">
        <f>'Oper Exp'!J43</f>
        <v>1.0404777428222294</v>
      </c>
      <c r="K13" s="645">
        <f>'Oper Exp'!K43</f>
        <v>1.0508825202504517</v>
      </c>
      <c r="L13" s="645">
        <f>'Oper Exp'!L43</f>
        <v>1.0613913454529562</v>
      </c>
    </row>
    <row r="14" spans="1:12" ht="12.75">
      <c r="A14" s="692"/>
      <c r="B14" s="634" t="s">
        <v>28</v>
      </c>
      <c r="C14" s="645">
        <f>'Oper Exp'!C26</f>
        <v>14.76</v>
      </c>
      <c r="D14" s="645">
        <f>'Oper Exp'!D26</f>
        <v>21.648</v>
      </c>
      <c r="E14" s="645">
        <f>'Oper Exp'!E26</f>
        <v>23.8128</v>
      </c>
      <c r="F14" s="645">
        <f>'Oper Exp'!F26</f>
        <v>26.194080000000003</v>
      </c>
      <c r="G14" s="645">
        <f>'Oper Exp'!G26</f>
        <v>28.813488000000003</v>
      </c>
      <c r="H14" s="645">
        <f>'Oper Exp'!H26</f>
        <v>31.6948368</v>
      </c>
      <c r="I14" s="645">
        <f>'Oper Exp'!I26</f>
        <v>34.86432048</v>
      </c>
      <c r="J14" s="645">
        <f>'Oper Exp'!J26</f>
        <v>38.350752528</v>
      </c>
      <c r="K14" s="645">
        <f>'Oper Exp'!K26</f>
        <v>42.185827780800004</v>
      </c>
      <c r="L14" s="645">
        <f>'Oper Exp'!L26</f>
        <v>46.40441055888</v>
      </c>
    </row>
    <row r="15" spans="1:12" ht="12.75">
      <c r="A15" s="692"/>
      <c r="B15" s="634" t="s">
        <v>106</v>
      </c>
      <c r="C15" s="645">
        <f>'Oper Exp'!C40</f>
        <v>3.948507E-06</v>
      </c>
      <c r="D15" s="645">
        <f>'Oper Exp'!D40</f>
        <v>5.311473120000001E-06</v>
      </c>
      <c r="E15" s="645">
        <f>'Oper Exp'!E40</f>
        <v>5.359206182400001E-06</v>
      </c>
      <c r="F15" s="645">
        <f>'Oper Exp'!F40</f>
        <v>5.407893906048001E-06</v>
      </c>
      <c r="G15" s="645">
        <f>'Oper Exp'!G40</f>
        <v>5.457555384168961E-06</v>
      </c>
      <c r="H15" s="645">
        <f>'Oper Exp'!H40</f>
        <v>5.508210091852341E-06</v>
      </c>
      <c r="I15" s="645">
        <f>'Oper Exp'!I40</f>
        <v>5.559877893689387E-06</v>
      </c>
      <c r="J15" s="645">
        <f>'Oper Exp'!J40</f>
        <v>5.612579051563175E-06</v>
      </c>
      <c r="K15" s="645">
        <f>'Oper Exp'!K40</f>
        <v>5.6663342325944375E-06</v>
      </c>
      <c r="L15" s="645">
        <f>'Oper Exp'!L40</f>
        <v>5.721164517246327E-06</v>
      </c>
    </row>
    <row r="16" spans="1:12" ht="12.75">
      <c r="A16" s="672"/>
      <c r="B16" s="674" t="s">
        <v>442</v>
      </c>
      <c r="C16" s="675">
        <f>(C8/1.1236)*12.36%</f>
        <v>5.549963468460234</v>
      </c>
      <c r="D16" s="675">
        <f aca="true" t="shared" si="2" ref="D16:L16">(D8/1.1236)*12.36%</f>
        <v>5.924369100887128</v>
      </c>
      <c r="E16" s="675">
        <f t="shared" si="2"/>
        <v>6.330797575124138</v>
      </c>
      <c r="F16" s="675">
        <f t="shared" si="2"/>
        <v>6.772288643709297</v>
      </c>
      <c r="G16" s="675">
        <f t="shared" si="2"/>
        <v>7.252181158485156</v>
      </c>
      <c r="H16" s="675">
        <f t="shared" si="2"/>
        <v>7.774142834250747</v>
      </c>
      <c r="I16" s="675">
        <f t="shared" si="2"/>
        <v>8.34220298439041</v>
      </c>
      <c r="J16" s="675">
        <f t="shared" si="2"/>
        <v>8.960788525545478</v>
      </c>
      <c r="K16" s="675">
        <f t="shared" si="2"/>
        <v>9.63476357809753</v>
      </c>
      <c r="L16" s="675">
        <f t="shared" si="2"/>
        <v>10.369473021904714</v>
      </c>
    </row>
    <row r="17" spans="1:12" ht="12.75">
      <c r="A17" s="672"/>
      <c r="B17" s="626"/>
      <c r="C17" s="629"/>
      <c r="D17" s="629"/>
      <c r="E17" s="629"/>
      <c r="F17" s="629"/>
      <c r="G17" s="629"/>
      <c r="H17" s="629"/>
      <c r="I17" s="629"/>
      <c r="J17" s="629"/>
      <c r="K17" s="629"/>
      <c r="L17" s="673"/>
    </row>
    <row r="18" spans="1:12" ht="12.75">
      <c r="A18" s="692"/>
      <c r="B18" s="640" t="s">
        <v>29</v>
      </c>
      <c r="C18" s="697">
        <f>SUM(C11:C17)</f>
        <v>22.515675981344067</v>
      </c>
      <c r="D18" s="697">
        <f>(SUM(D11:D17))</f>
        <v>30.523023888625204</v>
      </c>
      <c r="E18" s="697">
        <f aca="true" t="shared" si="3" ref="E18:L18">(SUM(E11:E17))</f>
        <v>33.152577800407975</v>
      </c>
      <c r="F18" s="697">
        <f t="shared" si="3"/>
        <v>36.03619850614419</v>
      </c>
      <c r="G18" s="697">
        <f t="shared" si="3"/>
        <v>39.198995146919614</v>
      </c>
      <c r="H18" s="697">
        <f t="shared" si="3"/>
        <v>42.66857660203102</v>
      </c>
      <c r="I18" s="697">
        <f t="shared" si="3"/>
        <v>46.47530100798561</v>
      </c>
      <c r="J18" s="697">
        <f t="shared" si="3"/>
        <v>50.65255020970801</v>
      </c>
      <c r="K18" s="697">
        <f t="shared" si="3"/>
        <v>55.23703163628153</v>
      </c>
      <c r="L18" s="697">
        <f t="shared" si="3"/>
        <v>60.26911034274147</v>
      </c>
    </row>
    <row r="19" spans="1:12" ht="12.75">
      <c r="A19" s="692"/>
      <c r="B19" s="634"/>
      <c r="C19" s="645"/>
      <c r="D19" s="645"/>
      <c r="E19" s="645"/>
      <c r="F19" s="645"/>
      <c r="G19" s="645"/>
      <c r="H19" s="645"/>
      <c r="I19" s="645"/>
      <c r="J19" s="645"/>
      <c r="K19" s="645"/>
      <c r="L19" s="696"/>
    </row>
    <row r="20" spans="1:12" ht="12.75">
      <c r="A20" s="692" t="s">
        <v>30</v>
      </c>
      <c r="B20" s="640" t="s">
        <v>31</v>
      </c>
      <c r="C20" s="695">
        <f>C8-C18</f>
        <v>27.93690454585593</v>
      </c>
      <c r="D20" s="695">
        <f aca="true" t="shared" si="4" ref="D20:L20">D8-D18</f>
        <v>23.333134054390797</v>
      </c>
      <c r="E20" s="695">
        <f t="shared" si="4"/>
        <v>24.398264880898516</v>
      </c>
      <c r="F20" s="695">
        <f t="shared" si="4"/>
        <v>25.528069455601496</v>
      </c>
      <c r="G20" s="695">
        <f t="shared" si="4"/>
        <v>26.727790853678457</v>
      </c>
      <c r="H20" s="695">
        <f t="shared" si="4"/>
        <v>28.003161978585005</v>
      </c>
      <c r="I20" s="695">
        <f t="shared" si="4"/>
        <v>29.360453630048895</v>
      </c>
      <c r="J20" s="695">
        <f t="shared" si="4"/>
        <v>30.806527357467544</v>
      </c>
      <c r="K20" s="695">
        <f t="shared" si="4"/>
        <v>32.348893576909305</v>
      </c>
      <c r="L20" s="698">
        <f t="shared" si="4"/>
        <v>33.99577547774507</v>
      </c>
    </row>
    <row r="21" spans="1:12" ht="12.75">
      <c r="A21" s="692"/>
      <c r="B21" s="634"/>
      <c r="C21" s="645"/>
      <c r="D21" s="645"/>
      <c r="E21" s="645"/>
      <c r="F21" s="645"/>
      <c r="G21" s="645"/>
      <c r="H21" s="645"/>
      <c r="I21" s="645"/>
      <c r="J21" s="645"/>
      <c r="K21" s="645"/>
      <c r="L21" s="696"/>
    </row>
    <row r="22" spans="1:12" ht="12.75">
      <c r="A22" s="692"/>
      <c r="B22" s="634" t="s">
        <v>32</v>
      </c>
      <c r="C22" s="645">
        <f>'Oper Exp'!C50</f>
        <v>4.6332</v>
      </c>
      <c r="D22" s="645">
        <f>'Oper Exp'!D50</f>
        <v>6.1776</v>
      </c>
      <c r="E22" s="645">
        <f>'Oper Exp'!E50</f>
        <v>6.1776</v>
      </c>
      <c r="F22" s="645">
        <f>'Oper Exp'!F50</f>
        <v>6.1776</v>
      </c>
      <c r="G22" s="645">
        <f>'Oper Exp'!G50</f>
        <v>6.1776</v>
      </c>
      <c r="H22" s="645">
        <f>'Oper Exp'!H50</f>
        <v>6.1776</v>
      </c>
      <c r="I22" s="645">
        <f>'Oper Exp'!I50</f>
        <v>6.1776</v>
      </c>
      <c r="J22" s="645">
        <f>'Oper Exp'!J50</f>
        <v>6.1776</v>
      </c>
      <c r="K22" s="645">
        <f>'Oper Exp'!K50</f>
        <v>6.1776</v>
      </c>
      <c r="L22" s="645">
        <f>'Oper Exp'!L50</f>
        <v>6.1776</v>
      </c>
    </row>
    <row r="23" spans="1:12" ht="12.75">
      <c r="A23" s="692"/>
      <c r="B23" s="634"/>
      <c r="C23" s="645"/>
      <c r="D23" s="645"/>
      <c r="E23" s="645"/>
      <c r="F23" s="645"/>
      <c r="G23" s="645"/>
      <c r="H23" s="645"/>
      <c r="I23" s="645"/>
      <c r="J23" s="645"/>
      <c r="K23" s="645"/>
      <c r="L23" s="696"/>
    </row>
    <row r="24" spans="1:12" ht="12.75">
      <c r="A24" s="692" t="s">
        <v>33</v>
      </c>
      <c r="B24" s="640" t="s">
        <v>34</v>
      </c>
      <c r="C24" s="695">
        <f>C20-C22</f>
        <v>23.30370454585593</v>
      </c>
      <c r="D24" s="695">
        <f aca="true" t="shared" si="5" ref="D24:I24">D20-D22</f>
        <v>17.1555340543908</v>
      </c>
      <c r="E24" s="695">
        <f t="shared" si="5"/>
        <v>18.220664880898518</v>
      </c>
      <c r="F24" s="695">
        <f t="shared" si="5"/>
        <v>19.3504694556015</v>
      </c>
      <c r="G24" s="695">
        <f t="shared" si="5"/>
        <v>20.55019085367846</v>
      </c>
      <c r="H24" s="695">
        <f t="shared" si="5"/>
        <v>21.825561978585007</v>
      </c>
      <c r="I24" s="695">
        <f t="shared" si="5"/>
        <v>23.182853630048896</v>
      </c>
      <c r="J24" s="695">
        <f>J20-J22</f>
        <v>24.628927357467546</v>
      </c>
      <c r="K24" s="695">
        <f>K20-K22</f>
        <v>26.171293576909306</v>
      </c>
      <c r="L24" s="698">
        <f>L20-L22</f>
        <v>27.818175477745072</v>
      </c>
    </row>
    <row r="25" spans="1:12" ht="12.75">
      <c r="A25" s="692"/>
      <c r="B25" s="640"/>
      <c r="C25" s="695"/>
      <c r="D25" s="695"/>
      <c r="E25" s="695"/>
      <c r="F25" s="695"/>
      <c r="G25" s="695"/>
      <c r="H25" s="695"/>
      <c r="I25" s="695"/>
      <c r="J25" s="695"/>
      <c r="K25" s="695"/>
      <c r="L25" s="698"/>
    </row>
    <row r="26" spans="1:12" ht="12.75">
      <c r="A26" s="692"/>
      <c r="B26" s="634" t="s">
        <v>102</v>
      </c>
      <c r="C26" s="645">
        <f>'Work Cap'!D18</f>
        <v>0</v>
      </c>
      <c r="D26" s="645">
        <f>'Work Cap'!E18</f>
        <v>0</v>
      </c>
      <c r="E26" s="645">
        <f>'Work Cap'!F18</f>
        <v>0</v>
      </c>
      <c r="F26" s="645">
        <f>'Work Cap'!G18</f>
        <v>0</v>
      </c>
      <c r="G26" s="645">
        <f>'Work Cap'!H18</f>
        <v>0</v>
      </c>
      <c r="H26" s="645">
        <f>'Work Cap'!I18</f>
        <v>0</v>
      </c>
      <c r="I26" s="645">
        <f>'Work Cap'!J18</f>
        <v>0</v>
      </c>
      <c r="J26" s="645">
        <f>'Work Cap'!K18</f>
        <v>0</v>
      </c>
      <c r="K26" s="645">
        <f>'Work Cap'!L18</f>
        <v>0</v>
      </c>
      <c r="L26" s="645">
        <f>'Work Cap'!M18</f>
        <v>0</v>
      </c>
    </row>
    <row r="27" spans="1:12" ht="12.75">
      <c r="A27" s="692"/>
      <c r="B27" s="634" t="s">
        <v>103</v>
      </c>
      <c r="C27" s="645">
        <f>'Oper Exp'!C52</f>
        <v>6.560172355551469</v>
      </c>
      <c r="D27" s="645">
        <f>'Oper Exp'!D52</f>
        <v>7.0140207575078595</v>
      </c>
      <c r="E27" s="645">
        <f>'Oper Exp'!E52</f>
        <v>5.0335913671527</v>
      </c>
      <c r="F27" s="645">
        <f>'Oper Exp'!F52</f>
        <v>3.053161976797539</v>
      </c>
      <c r="G27" s="645">
        <f>'Oper Exp'!G52</f>
        <v>1.0727325864423787</v>
      </c>
      <c r="H27" s="645">
        <f>'Oper Exp'!H52</f>
        <v>0</v>
      </c>
      <c r="I27" s="645">
        <f>'Oper Exp'!I52</f>
        <v>0</v>
      </c>
      <c r="J27" s="645">
        <f>'Oper Exp'!J52</f>
        <v>0</v>
      </c>
      <c r="K27" s="645">
        <f>'Oper Exp'!K52</f>
        <v>0</v>
      </c>
      <c r="L27" s="645">
        <f>'Oper Exp'!L52</f>
        <v>0</v>
      </c>
    </row>
    <row r="28" spans="1:12" ht="12.75">
      <c r="A28" s="692" t="s">
        <v>36</v>
      </c>
      <c r="B28" s="640" t="s">
        <v>37</v>
      </c>
      <c r="C28" s="695">
        <f>C24-C26-C27</f>
        <v>16.74353219030446</v>
      </c>
      <c r="D28" s="695">
        <f aca="true" t="shared" si="6" ref="D28:I28">D24-D26-D27</f>
        <v>10.14151329688294</v>
      </c>
      <c r="E28" s="695">
        <f t="shared" si="6"/>
        <v>13.187073513745819</v>
      </c>
      <c r="F28" s="695">
        <f t="shared" si="6"/>
        <v>16.29730747880396</v>
      </c>
      <c r="G28" s="695">
        <f t="shared" si="6"/>
        <v>19.47745826723608</v>
      </c>
      <c r="H28" s="695">
        <f t="shared" si="6"/>
        <v>21.825561978585007</v>
      </c>
      <c r="I28" s="695">
        <f t="shared" si="6"/>
        <v>23.182853630048896</v>
      </c>
      <c r="J28" s="695">
        <f>J24-J26-J27</f>
        <v>24.628927357467546</v>
      </c>
      <c r="K28" s="695">
        <f>K24-K26-K27</f>
        <v>26.171293576909306</v>
      </c>
      <c r="L28" s="698">
        <f>L24-L26-L27</f>
        <v>27.818175477745072</v>
      </c>
    </row>
    <row r="29" spans="1:12" ht="12.75">
      <c r="A29" s="699"/>
      <c r="B29" s="634"/>
      <c r="C29" s="645"/>
      <c r="D29" s="645"/>
      <c r="E29" s="645"/>
      <c r="F29" s="645"/>
      <c r="G29" s="645"/>
      <c r="H29" s="645"/>
      <c r="I29" s="645"/>
      <c r="J29" s="645"/>
      <c r="K29" s="645"/>
      <c r="L29" s="696"/>
    </row>
    <row r="30" spans="1:13" ht="12.75">
      <c r="A30" s="699"/>
      <c r="B30" s="634" t="s">
        <v>180</v>
      </c>
      <c r="C30" s="645">
        <f>'Tax cal'!C16</f>
        <v>3.350004061805641</v>
      </c>
      <c r="D30" s="645">
        <f>'Tax cal'!D16</f>
        <v>2.0290886266570967</v>
      </c>
      <c r="E30" s="645">
        <f>'Tax cal'!E16</f>
        <v>2.6384367009464795</v>
      </c>
      <c r="F30" s="645">
        <f>'Tax cal'!F16</f>
        <v>3.385369504680749</v>
      </c>
      <c r="G30" s="645">
        <f>'Tax cal'!G16</f>
        <v>5.016053388958626</v>
      </c>
      <c r="H30" s="645">
        <f>'Tax cal'!H16</f>
        <v>6.714311132486886</v>
      </c>
      <c r="I30" s="645">
        <f>'Tax cal'!I16</f>
        <v>7.518206963269932</v>
      </c>
      <c r="J30" s="645">
        <f>'Tax cal'!J16</f>
        <v>9.995177801130346</v>
      </c>
      <c r="K30" s="645">
        <f>'Tax cal'!K16</f>
        <v>10.495598521028224</v>
      </c>
      <c r="L30" s="645">
        <f>'Tax cal'!L16</f>
        <v>11.029929353754389</v>
      </c>
      <c r="M30" s="629"/>
    </row>
    <row r="31" spans="1:12" ht="12.75">
      <c r="A31" s="699"/>
      <c r="B31" s="634"/>
      <c r="C31" s="645"/>
      <c r="D31" s="645"/>
      <c r="E31" s="645"/>
      <c r="F31" s="645"/>
      <c r="G31" s="645"/>
      <c r="H31" s="645"/>
      <c r="I31" s="645"/>
      <c r="J31" s="645"/>
      <c r="K31" s="645"/>
      <c r="L31" s="645"/>
    </row>
    <row r="32" spans="1:12" ht="13.5" customHeight="1">
      <c r="A32" s="692" t="s">
        <v>38</v>
      </c>
      <c r="B32" s="640" t="s">
        <v>39</v>
      </c>
      <c r="C32" s="695">
        <f>C28-C30</f>
        <v>13.393528128498819</v>
      </c>
      <c r="D32" s="695">
        <f>D28-D30</f>
        <v>8.112424670225842</v>
      </c>
      <c r="E32" s="695">
        <f aca="true" t="shared" si="7" ref="E32:L32">E28-E30</f>
        <v>10.548636812799339</v>
      </c>
      <c r="F32" s="695">
        <f t="shared" si="7"/>
        <v>12.911937974123209</v>
      </c>
      <c r="G32" s="695">
        <f t="shared" si="7"/>
        <v>14.461404878277456</v>
      </c>
      <c r="H32" s="695">
        <f t="shared" si="7"/>
        <v>15.111250846098121</v>
      </c>
      <c r="I32" s="695">
        <f t="shared" si="7"/>
        <v>15.664646666778964</v>
      </c>
      <c r="J32" s="695">
        <f t="shared" si="7"/>
        <v>14.6337495563372</v>
      </c>
      <c r="K32" s="695">
        <f t="shared" si="7"/>
        <v>15.675695055881082</v>
      </c>
      <c r="L32" s="695">
        <f t="shared" si="7"/>
        <v>16.78824612399068</v>
      </c>
    </row>
    <row r="33" spans="1:12" ht="12.75">
      <c r="A33" s="676"/>
      <c r="B33" s="631"/>
      <c r="C33" s="632"/>
      <c r="D33" s="632"/>
      <c r="E33" s="632"/>
      <c r="F33" s="632"/>
      <c r="G33" s="632"/>
      <c r="H33" s="632"/>
      <c r="I33" s="632"/>
      <c r="J33" s="632"/>
      <c r="K33" s="632"/>
      <c r="L33" s="677"/>
    </row>
    <row r="34" spans="3:13" ht="11.25"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</row>
    <row r="35" spans="2:13" ht="12.75">
      <c r="B35" s="679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28"/>
    </row>
    <row r="36" spans="2:13" ht="12.75">
      <c r="B36" s="628"/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628"/>
    </row>
    <row r="37" spans="2:13" ht="12.75">
      <c r="B37" s="628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28"/>
    </row>
    <row r="38" spans="2:13" ht="12.75">
      <c r="B38" s="628"/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28"/>
    </row>
    <row r="39" spans="2:13" ht="12.75">
      <c r="B39" s="628"/>
      <c r="C39" s="681"/>
      <c r="D39" s="681"/>
      <c r="E39" s="681"/>
      <c r="F39" s="681"/>
      <c r="G39" s="681"/>
      <c r="H39" s="681"/>
      <c r="I39" s="681"/>
      <c r="J39" s="681"/>
      <c r="K39" s="681"/>
      <c r="L39" s="681"/>
      <c r="M39" s="628"/>
    </row>
    <row r="40" spans="2:13" ht="12.75">
      <c r="B40" s="628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28"/>
    </row>
    <row r="41" spans="2:13" ht="12.75">
      <c r="B41" s="628"/>
      <c r="C41" s="681"/>
      <c r="D41" s="681"/>
      <c r="E41" s="681"/>
      <c r="F41" s="681"/>
      <c r="G41" s="681"/>
      <c r="H41" s="681"/>
      <c r="I41" s="681"/>
      <c r="J41" s="681"/>
      <c r="K41" s="681"/>
      <c r="L41" s="681"/>
      <c r="M41" s="628"/>
    </row>
    <row r="42" spans="2:13" ht="12.75">
      <c r="B42" s="628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28"/>
    </row>
    <row r="43" spans="2:13" ht="12.75">
      <c r="B43" s="628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28"/>
    </row>
    <row r="44" spans="2:13" ht="12.75">
      <c r="B44" s="628"/>
      <c r="C44" s="681"/>
      <c r="D44" s="681"/>
      <c r="E44" s="681"/>
      <c r="F44" s="681"/>
      <c r="G44" s="681"/>
      <c r="H44" s="681"/>
      <c r="I44" s="681"/>
      <c r="J44" s="681"/>
      <c r="K44" s="681"/>
      <c r="L44" s="681"/>
      <c r="M44" s="628"/>
    </row>
    <row r="45" spans="2:13" ht="12.75">
      <c r="B45" s="628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28"/>
    </row>
    <row r="46" spans="2:13" ht="12.75">
      <c r="B46" s="628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28"/>
    </row>
    <row r="47" ht="11.25"/>
    <row r="48" ht="11.25">
      <c r="B48" s="685"/>
    </row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sheetProtection password="DAD4" sheet="1"/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L28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1.421875" style="59" customWidth="1"/>
    <col min="2" max="2" width="35.00390625" style="59" customWidth="1"/>
    <col min="3" max="3" width="15.28125" style="59" customWidth="1"/>
    <col min="4" max="4" width="14.00390625" style="59" customWidth="1"/>
    <col min="5" max="5" width="15.28125" style="59" customWidth="1"/>
    <col min="6" max="6" width="13.7109375" style="59" customWidth="1"/>
    <col min="7" max="7" width="13.8515625" style="59" customWidth="1"/>
    <col min="8" max="8" width="13.421875" style="59" customWidth="1"/>
    <col min="9" max="9" width="13.8515625" style="59" bestFit="1" customWidth="1"/>
    <col min="10" max="10" width="14.421875" style="59" customWidth="1"/>
    <col min="11" max="11" width="13.8515625" style="59" customWidth="1"/>
    <col min="12" max="12" width="13.57421875" style="59" customWidth="1"/>
    <col min="13" max="16384" width="9.140625" style="59" customWidth="1"/>
  </cols>
  <sheetData>
    <row r="2" ht="13.5" thickBot="1">
      <c r="B2" s="78" t="s">
        <v>292</v>
      </c>
    </row>
    <row r="3" spans="2:12" ht="12.75">
      <c r="B3" s="60"/>
      <c r="C3" s="61"/>
      <c r="D3" s="61"/>
      <c r="E3" s="61"/>
      <c r="F3" s="61"/>
      <c r="G3" s="61"/>
      <c r="H3" s="62"/>
      <c r="I3" s="62"/>
      <c r="J3" s="63" t="s">
        <v>181</v>
      </c>
      <c r="K3" s="62"/>
      <c r="L3" s="64"/>
    </row>
    <row r="4" spans="2:12" s="66" customFormat="1" ht="12.75">
      <c r="B4" s="65" t="s">
        <v>42</v>
      </c>
      <c r="C4" s="285">
        <f>'P&amp;L'!C5</f>
        <v>1</v>
      </c>
      <c r="D4" s="285">
        <f>'P&amp;L'!D5</f>
        <v>2</v>
      </c>
      <c r="E4" s="285">
        <f>'P&amp;L'!E5</f>
        <v>3</v>
      </c>
      <c r="F4" s="285">
        <f>'P&amp;L'!F5</f>
        <v>4</v>
      </c>
      <c r="G4" s="285">
        <f>'P&amp;L'!G5</f>
        <v>5</v>
      </c>
      <c r="H4" s="285">
        <f>'P&amp;L'!H5</f>
        <v>6</v>
      </c>
      <c r="I4" s="285">
        <f>'P&amp;L'!I5</f>
        <v>7</v>
      </c>
      <c r="J4" s="285">
        <f>'P&amp;L'!J5</f>
        <v>8</v>
      </c>
      <c r="K4" s="285">
        <f>'P&amp;L'!K5</f>
        <v>9</v>
      </c>
      <c r="L4" s="286">
        <f>'P&amp;L'!L5</f>
        <v>10</v>
      </c>
    </row>
    <row r="5" spans="2:12" ht="12.75">
      <c r="B5" s="67" t="s">
        <v>182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2:12" ht="12.75">
      <c r="B6" s="70" t="s">
        <v>183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2:12" ht="12.75">
      <c r="B7" s="71" t="s">
        <v>184</v>
      </c>
      <c r="C7" s="68">
        <f>IF(C4&lt;=Parameters!$C$118,Parameters!$C$19,0)</f>
        <v>54.14000000000001</v>
      </c>
      <c r="D7" s="68">
        <f>C7</f>
        <v>54.14000000000001</v>
      </c>
      <c r="E7" s="68">
        <f aca="true" t="shared" si="0" ref="E7:L7">D7</f>
        <v>54.14000000000001</v>
      </c>
      <c r="F7" s="68">
        <f t="shared" si="0"/>
        <v>54.14000000000001</v>
      </c>
      <c r="G7" s="68">
        <f t="shared" si="0"/>
        <v>54.14000000000001</v>
      </c>
      <c r="H7" s="68">
        <f t="shared" si="0"/>
        <v>54.14000000000001</v>
      </c>
      <c r="I7" s="68">
        <f t="shared" si="0"/>
        <v>54.14000000000001</v>
      </c>
      <c r="J7" s="68">
        <f t="shared" si="0"/>
        <v>54.14000000000001</v>
      </c>
      <c r="K7" s="68">
        <f t="shared" si="0"/>
        <v>54.14000000000001</v>
      </c>
      <c r="L7" s="69">
        <f t="shared" si="0"/>
        <v>54.14000000000001</v>
      </c>
    </row>
    <row r="8" spans="2:12" ht="12.75">
      <c r="B8" s="74" t="s">
        <v>185</v>
      </c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2:12" ht="12.75">
      <c r="B9" s="71" t="s">
        <v>186</v>
      </c>
      <c r="C9" s="72"/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3">
        <v>0</v>
      </c>
    </row>
    <row r="10" spans="2:12" ht="12.75">
      <c r="B10" s="71" t="s">
        <v>187</v>
      </c>
      <c r="C10" s="72">
        <f>'P&amp;L'!C32</f>
        <v>13.393528128498819</v>
      </c>
      <c r="D10" s="72">
        <f>'P&amp;L'!D32+C10</f>
        <v>21.50595279872466</v>
      </c>
      <c r="E10" s="72">
        <f>'P&amp;L'!E32+D10</f>
        <v>32.054589611524</v>
      </c>
      <c r="F10" s="72">
        <f>'P&amp;L'!F32+E10</f>
        <v>44.96652758564721</v>
      </c>
      <c r="G10" s="72">
        <f>'P&amp;L'!G32+F10</f>
        <v>59.42793246392467</v>
      </c>
      <c r="H10" s="72">
        <f>'P&amp;L'!H32+G10</f>
        <v>74.53918331002279</v>
      </c>
      <c r="I10" s="72">
        <f>'P&amp;L'!I32+H10</f>
        <v>90.20382997680176</v>
      </c>
      <c r="J10" s="72">
        <f>'P&amp;L'!J32+I10</f>
        <v>104.83757953313895</v>
      </c>
      <c r="K10" s="72">
        <f>'P&amp;L'!K32+J10</f>
        <v>120.51327458902003</v>
      </c>
      <c r="L10" s="73">
        <f>'P&amp;L'!L32+K10</f>
        <v>137.30152071301072</v>
      </c>
    </row>
    <row r="11" spans="2:12" ht="12.75">
      <c r="B11" s="75" t="s">
        <v>188</v>
      </c>
      <c r="C11" s="72">
        <f aca="true" t="shared" si="1" ref="C11:L11">C7+C8+C10</f>
        <v>67.53352812849883</v>
      </c>
      <c r="D11" s="72">
        <f t="shared" si="1"/>
        <v>75.64595279872466</v>
      </c>
      <c r="E11" s="72">
        <f t="shared" si="1"/>
        <v>86.19458961152401</v>
      </c>
      <c r="F11" s="72">
        <f t="shared" si="1"/>
        <v>99.10652758564723</v>
      </c>
      <c r="G11" s="72">
        <f t="shared" si="1"/>
        <v>113.56793246392468</v>
      </c>
      <c r="H11" s="72">
        <f t="shared" si="1"/>
        <v>128.6791833100228</v>
      </c>
      <c r="I11" s="72">
        <f t="shared" si="1"/>
        <v>144.34382997680177</v>
      </c>
      <c r="J11" s="72">
        <f t="shared" si="1"/>
        <v>158.97757953313896</v>
      </c>
      <c r="K11" s="72">
        <f t="shared" si="1"/>
        <v>174.65327458902004</v>
      </c>
      <c r="L11" s="73">
        <f t="shared" si="1"/>
        <v>191.44152071301073</v>
      </c>
    </row>
    <row r="12" spans="2:12" ht="12.75">
      <c r="B12" s="75" t="s">
        <v>189</v>
      </c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2:12" ht="12.75">
      <c r="B13" s="70" t="s">
        <v>190</v>
      </c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2:12" ht="12.75">
      <c r="B14" s="71" t="s">
        <v>191</v>
      </c>
      <c r="C14" s="72">
        <f>Interest!C6-'Cash Flow'!D17</f>
        <v>63.37374049136514</v>
      </c>
      <c r="D14" s="72">
        <f>C14-'Cash Flow'!E17</f>
        <v>47.530305368523855</v>
      </c>
      <c r="E14" s="72">
        <f>D14-'Cash Flow'!F17</f>
        <v>31.68687024568257</v>
      </c>
      <c r="F14" s="72">
        <f>E14-'Cash Flow'!G17</f>
        <v>15.843435122841285</v>
      </c>
      <c r="G14" s="72">
        <f>F14-'Cash Flow'!H17</f>
        <v>0</v>
      </c>
      <c r="H14" s="72">
        <f>G14-'Cash Flow'!I17</f>
        <v>0</v>
      </c>
      <c r="I14" s="72">
        <f>H14-'Cash Flow'!J17</f>
        <v>0</v>
      </c>
      <c r="J14" s="72">
        <v>0</v>
      </c>
      <c r="K14" s="72"/>
      <c r="L14" s="73"/>
    </row>
    <row r="15" spans="2:12" ht="12.75">
      <c r="B15" s="75" t="s">
        <v>192</v>
      </c>
      <c r="C15" s="72">
        <f aca="true" t="shared" si="2" ref="C15:L15">SUM(C14:C14)</f>
        <v>63.37374049136514</v>
      </c>
      <c r="D15" s="72">
        <f t="shared" si="2"/>
        <v>47.530305368523855</v>
      </c>
      <c r="E15" s="72">
        <f t="shared" si="2"/>
        <v>31.68687024568257</v>
      </c>
      <c r="F15" s="72">
        <f t="shared" si="2"/>
        <v>15.843435122841285</v>
      </c>
      <c r="G15" s="72">
        <f t="shared" si="2"/>
        <v>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3">
        <f t="shared" si="2"/>
        <v>0</v>
      </c>
    </row>
    <row r="16" spans="2:12" ht="12.75">
      <c r="B16" s="75" t="s">
        <v>189</v>
      </c>
      <c r="C16" s="76"/>
      <c r="D16" s="72"/>
      <c r="E16" s="72"/>
      <c r="F16" s="72"/>
      <c r="G16" s="72"/>
      <c r="H16" s="72"/>
      <c r="I16" s="72">
        <f>H15-I15</f>
        <v>0</v>
      </c>
      <c r="J16" s="72"/>
      <c r="K16" s="72"/>
      <c r="L16" s="73"/>
    </row>
    <row r="17" spans="2:12" ht="12.75">
      <c r="B17" s="67" t="s">
        <v>193</v>
      </c>
      <c r="C17" s="163">
        <f>C11+C15</f>
        <v>130.90726861986397</v>
      </c>
      <c r="D17" s="163">
        <f aca="true" t="shared" si="3" ref="D17:L17">D11+D15</f>
        <v>123.17625816724852</v>
      </c>
      <c r="E17" s="163">
        <f t="shared" si="3"/>
        <v>117.88145985720658</v>
      </c>
      <c r="F17" s="163">
        <f t="shared" si="3"/>
        <v>114.94996270848851</v>
      </c>
      <c r="G17" s="163">
        <f t="shared" si="3"/>
        <v>113.56793246392468</v>
      </c>
      <c r="H17" s="163">
        <f t="shared" si="3"/>
        <v>128.6791833100228</v>
      </c>
      <c r="I17" s="163">
        <f t="shared" si="3"/>
        <v>144.34382997680177</v>
      </c>
      <c r="J17" s="163">
        <f t="shared" si="3"/>
        <v>158.97757953313896</v>
      </c>
      <c r="K17" s="163">
        <f t="shared" si="3"/>
        <v>174.65327458902004</v>
      </c>
      <c r="L17" s="164">
        <f t="shared" si="3"/>
        <v>191.44152071301073</v>
      </c>
    </row>
    <row r="18" spans="2:12" ht="12.75">
      <c r="B18" s="67" t="s">
        <v>194</v>
      </c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19" spans="2:12" ht="12.75">
      <c r="B19" s="70" t="s">
        <v>195</v>
      </c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2:12" ht="12.75">
      <c r="B20" s="71" t="s">
        <v>196</v>
      </c>
      <c r="C20" s="72">
        <f>'Depr as per IT'!C4</f>
        <v>129.39631683349612</v>
      </c>
      <c r="D20" s="72">
        <f>C20</f>
        <v>129.39631683349612</v>
      </c>
      <c r="E20" s="72">
        <f aca="true" t="shared" si="4" ref="E20:L20">D20</f>
        <v>129.39631683349612</v>
      </c>
      <c r="F20" s="72">
        <f t="shared" si="4"/>
        <v>129.39631683349612</v>
      </c>
      <c r="G20" s="72">
        <f t="shared" si="4"/>
        <v>129.39631683349612</v>
      </c>
      <c r="H20" s="72">
        <f t="shared" si="4"/>
        <v>129.39631683349612</v>
      </c>
      <c r="I20" s="72">
        <f t="shared" si="4"/>
        <v>129.39631683349612</v>
      </c>
      <c r="J20" s="72">
        <f t="shared" si="4"/>
        <v>129.39631683349612</v>
      </c>
      <c r="K20" s="72">
        <f t="shared" si="4"/>
        <v>129.39631683349612</v>
      </c>
      <c r="L20" s="73">
        <f t="shared" si="4"/>
        <v>129.39631683349612</v>
      </c>
    </row>
    <row r="21" spans="2:12" ht="12.75">
      <c r="B21" s="71" t="s">
        <v>197</v>
      </c>
      <c r="C21" s="72">
        <f>'P&amp;L'!C22</f>
        <v>4.6332</v>
      </c>
      <c r="D21" s="72">
        <f>C21+'P&amp;L'!D22</f>
        <v>10.8108</v>
      </c>
      <c r="E21" s="72">
        <f>D21+'P&amp;L'!E22</f>
        <v>16.9884</v>
      </c>
      <c r="F21" s="72">
        <f>E21+'P&amp;L'!F22</f>
        <v>23.165999999999997</v>
      </c>
      <c r="G21" s="72">
        <f>F21+'P&amp;L'!G22</f>
        <v>29.343599999999995</v>
      </c>
      <c r="H21" s="72">
        <f>G21+'P&amp;L'!H22</f>
        <v>35.52119999999999</v>
      </c>
      <c r="I21" s="72">
        <f>H21+'P&amp;L'!I22</f>
        <v>41.69879999999999</v>
      </c>
      <c r="J21" s="72">
        <f>I21+'P&amp;L'!J22</f>
        <v>47.87639999999999</v>
      </c>
      <c r="K21" s="72">
        <f>J21+'P&amp;L'!K22</f>
        <v>54.05399999999999</v>
      </c>
      <c r="L21" s="72">
        <f>K21+'P&amp;L'!L22</f>
        <v>60.231599999999986</v>
      </c>
    </row>
    <row r="22" spans="2:12" ht="12.75">
      <c r="B22" s="71" t="s">
        <v>198</v>
      </c>
      <c r="C22" s="72">
        <f>C20-C21</f>
        <v>124.76311683349611</v>
      </c>
      <c r="D22" s="72">
        <f>D20-D21</f>
        <v>118.58551683349611</v>
      </c>
      <c r="E22" s="72">
        <f aca="true" t="shared" si="5" ref="E22:L22">E20-E21</f>
        <v>112.40791683349612</v>
      </c>
      <c r="F22" s="72">
        <f t="shared" si="5"/>
        <v>106.23031683349612</v>
      </c>
      <c r="G22" s="72">
        <f t="shared" si="5"/>
        <v>100.05271683349612</v>
      </c>
      <c r="H22" s="72">
        <f t="shared" si="5"/>
        <v>93.87511683349612</v>
      </c>
      <c r="I22" s="72">
        <f t="shared" si="5"/>
        <v>87.69751683349612</v>
      </c>
      <c r="J22" s="72">
        <f t="shared" si="5"/>
        <v>81.51991683349613</v>
      </c>
      <c r="K22" s="72">
        <f t="shared" si="5"/>
        <v>75.34231683349613</v>
      </c>
      <c r="L22" s="73">
        <f t="shared" si="5"/>
        <v>69.16471683349613</v>
      </c>
    </row>
    <row r="23" spans="2:12" ht="12.75">
      <c r="B23" s="75" t="s">
        <v>199</v>
      </c>
      <c r="C23" s="72">
        <f>'Cash Flow'!D25</f>
        <v>6.144151786367843</v>
      </c>
      <c r="D23" s="72">
        <f>'Cash Flow'!E25</f>
        <v>4.5907413337523995</v>
      </c>
      <c r="E23" s="72">
        <f>'Cash Flow'!F25</f>
        <v>5.473543023710453</v>
      </c>
      <c r="F23" s="72">
        <f>'Cash Flow'!G25</f>
        <v>8.719645874992379</v>
      </c>
      <c r="G23" s="72">
        <f>'Cash Flow'!H25</f>
        <v>13.515215630428548</v>
      </c>
      <c r="H23" s="72">
        <f>'Cash Flow'!I25</f>
        <v>34.80406647652667</v>
      </c>
      <c r="I23" s="72">
        <f>'Cash Flow'!J25</f>
        <v>56.64631314330563</v>
      </c>
      <c r="J23" s="72">
        <f>'Cash Flow'!K25</f>
        <v>77.45766269964284</v>
      </c>
      <c r="K23" s="72">
        <f>'Cash Flow'!L25</f>
        <v>99.31095775552393</v>
      </c>
      <c r="L23" s="73">
        <f>'Cash Flow'!M25</f>
        <v>122.2768038795146</v>
      </c>
    </row>
    <row r="24" spans="2:12" ht="12.75">
      <c r="B24" s="71" t="s">
        <v>216</v>
      </c>
      <c r="C24" s="72">
        <f>'Work Cap'!D17</f>
        <v>0</v>
      </c>
      <c r="D24" s="72">
        <f>'Work Cap'!E17</f>
        <v>0</v>
      </c>
      <c r="E24" s="72">
        <f>'Work Cap'!F17</f>
        <v>0</v>
      </c>
      <c r="F24" s="72">
        <f>'Work Cap'!G17</f>
        <v>0</v>
      </c>
      <c r="G24" s="72">
        <f>'Work Cap'!H17</f>
        <v>0</v>
      </c>
      <c r="H24" s="72">
        <f>'Work Cap'!I17</f>
        <v>0</v>
      </c>
      <c r="I24" s="72">
        <f>'Work Cap'!J17</f>
        <v>0</v>
      </c>
      <c r="J24" s="72">
        <f>'Work Cap'!K17</f>
        <v>0</v>
      </c>
      <c r="K24" s="72">
        <f>'Work Cap'!L17</f>
        <v>0</v>
      </c>
      <c r="L24" s="72">
        <f>'Work Cap'!M17</f>
        <v>0</v>
      </c>
    </row>
    <row r="25" spans="2:12" s="78" customFormat="1" ht="13.5" thickBot="1">
      <c r="B25" s="77" t="s">
        <v>193</v>
      </c>
      <c r="C25" s="165">
        <f>C22+C23+C24</f>
        <v>130.90726861986394</v>
      </c>
      <c r="D25" s="165">
        <f aca="true" t="shared" si="6" ref="D25:L25">D22+D23+D24</f>
        <v>123.17625816724852</v>
      </c>
      <c r="E25" s="165">
        <f t="shared" si="6"/>
        <v>117.88145985720656</v>
      </c>
      <c r="F25" s="165">
        <f t="shared" si="6"/>
        <v>114.9499627084885</v>
      </c>
      <c r="G25" s="165">
        <f t="shared" si="6"/>
        <v>113.56793246392466</v>
      </c>
      <c r="H25" s="165">
        <f t="shared" si="6"/>
        <v>128.67918331002278</v>
      </c>
      <c r="I25" s="165">
        <f t="shared" si="6"/>
        <v>144.34382997680177</v>
      </c>
      <c r="J25" s="165">
        <f t="shared" si="6"/>
        <v>158.97757953313896</v>
      </c>
      <c r="K25" s="165">
        <f t="shared" si="6"/>
        <v>174.65327458902004</v>
      </c>
      <c r="L25" s="166">
        <f t="shared" si="6"/>
        <v>191.44152071301073</v>
      </c>
    </row>
    <row r="28" spans="3:12" ht="12.75">
      <c r="C28" s="59">
        <f>C17-C25</f>
        <v>0</v>
      </c>
      <c r="D28" s="59">
        <f aca="true" t="shared" si="7" ref="D28:L28">D17-D25</f>
        <v>0</v>
      </c>
      <c r="E28" s="59">
        <f t="shared" si="7"/>
        <v>0</v>
      </c>
      <c r="F28" s="59">
        <f t="shared" si="7"/>
        <v>0</v>
      </c>
      <c r="G28" s="59">
        <f t="shared" si="7"/>
        <v>0</v>
      </c>
      <c r="H28" s="59">
        <f t="shared" si="7"/>
        <v>0</v>
      </c>
      <c r="I28" s="59">
        <f t="shared" si="7"/>
        <v>0</v>
      </c>
      <c r="J28" s="59">
        <f t="shared" si="7"/>
        <v>0</v>
      </c>
      <c r="K28" s="59">
        <f t="shared" si="7"/>
        <v>0</v>
      </c>
      <c r="L28" s="59">
        <f t="shared" si="7"/>
        <v>0</v>
      </c>
    </row>
  </sheetData>
  <sheetProtection password="DAD4" sheet="1"/>
  <printOptions/>
  <pageMargins left="0.7" right="0.7" top="0.75" bottom="0.75" header="0.3" footer="0.3"/>
  <pageSetup horizontalDpi="600" verticalDpi="600" orientation="landscape" r:id="rId1"/>
  <headerFooter>
    <oddHeader xml:space="preserve">&amp;CPartial Risk Gurantee for Energy Efficiency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M26"/>
  <sheetViews>
    <sheetView zoomScale="94" zoomScaleNormal="94" workbookViewId="0" topLeftCell="A1">
      <selection activeCell="C9" sqref="C9"/>
    </sheetView>
  </sheetViews>
  <sheetFormatPr defaultColWidth="0" defaultRowHeight="12.75" zeroHeight="1"/>
  <cols>
    <col min="1" max="1" width="2.421875" style="269" customWidth="1"/>
    <col min="2" max="2" width="27.8515625" style="269" customWidth="1"/>
    <col min="3" max="3" width="13.57421875" style="283" customWidth="1"/>
    <col min="4" max="13" width="13.7109375" style="283" customWidth="1"/>
    <col min="14" max="15" width="0.5625" style="269" customWidth="1"/>
    <col min="16" max="16384" width="0" style="269" hidden="1" customWidth="1"/>
  </cols>
  <sheetData>
    <row r="1" spans="1:13" ht="12.75">
      <c r="A1" s="251" t="str">
        <f>Parameters!C3</f>
        <v>Darashaw &amp; Co.</v>
      </c>
      <c r="B1" s="180"/>
      <c r="C1" s="181"/>
      <c r="D1" s="181"/>
      <c r="E1" s="181"/>
      <c r="F1" s="181" t="s">
        <v>218</v>
      </c>
      <c r="G1" s="181"/>
      <c r="H1" s="181"/>
      <c r="I1" s="267"/>
      <c r="J1" s="267"/>
      <c r="K1" s="267"/>
      <c r="L1" s="267"/>
      <c r="M1" s="268"/>
    </row>
    <row r="2" spans="1:13" ht="12.75">
      <c r="A2" s="252" t="str">
        <f>Parameters!C4</f>
        <v>Shirdi Nagar Panchyat Street Light</v>
      </c>
      <c r="B2" s="23"/>
      <c r="C2" s="186"/>
      <c r="D2" s="186"/>
      <c r="E2" s="186"/>
      <c r="F2" s="186"/>
      <c r="G2" s="186"/>
      <c r="H2" s="186"/>
      <c r="I2" s="270"/>
      <c r="J2" s="270"/>
      <c r="K2" s="270"/>
      <c r="L2" s="270"/>
      <c r="M2" s="271"/>
    </row>
    <row r="3" spans="1:13" ht="12.75">
      <c r="A3" s="188"/>
      <c r="B3" s="23"/>
      <c r="C3" s="186"/>
      <c r="D3" s="186"/>
      <c r="E3" s="186"/>
      <c r="F3" s="186"/>
      <c r="G3" s="186"/>
      <c r="H3" s="186"/>
      <c r="I3" s="270"/>
      <c r="J3" s="270"/>
      <c r="K3" s="270"/>
      <c r="L3" s="270"/>
      <c r="M3" s="271"/>
    </row>
    <row r="4" spans="1:13" ht="12.75">
      <c r="A4" s="440" t="s">
        <v>83</v>
      </c>
      <c r="B4" s="25"/>
      <c r="C4" s="186"/>
      <c r="D4" s="186"/>
      <c r="E4" s="186"/>
      <c r="F4" s="186"/>
      <c r="G4" s="186"/>
      <c r="H4" s="186"/>
      <c r="I4" s="189" t="str">
        <f>'P&amp;L'!H4</f>
        <v>Amt in</v>
      </c>
      <c r="J4" s="190" t="str">
        <f>CONCATENATE(Parameters!C11," ",Parameters!C12)</f>
        <v>INR Lacs</v>
      </c>
      <c r="K4" s="190"/>
      <c r="L4" s="190"/>
      <c r="M4" s="272"/>
    </row>
    <row r="5" spans="1:13" s="284" customFormat="1" ht="12.75">
      <c r="A5" s="193" t="s">
        <v>17</v>
      </c>
      <c r="B5" s="194" t="s">
        <v>84</v>
      </c>
      <c r="C5" s="273" t="s">
        <v>440</v>
      </c>
      <c r="D5" s="171">
        <f>Saving!D7</f>
        <v>1</v>
      </c>
      <c r="E5" s="171">
        <f>Saving!E7</f>
        <v>2</v>
      </c>
      <c r="F5" s="171">
        <f>Saving!F7</f>
        <v>3</v>
      </c>
      <c r="G5" s="171">
        <f>Saving!G7</f>
        <v>4</v>
      </c>
      <c r="H5" s="171">
        <f>Saving!H7</f>
        <v>5</v>
      </c>
      <c r="I5" s="171">
        <f>Saving!I7</f>
        <v>6</v>
      </c>
      <c r="J5" s="171">
        <f>Saving!J7</f>
        <v>7</v>
      </c>
      <c r="K5" s="171">
        <f>Saving!K7</f>
        <v>8</v>
      </c>
      <c r="L5" s="171">
        <f>Saving!L7</f>
        <v>9</v>
      </c>
      <c r="M5" s="274">
        <f>Saving!M7</f>
        <v>10</v>
      </c>
    </row>
    <row r="6" spans="1:13" ht="12.75">
      <c r="A6" s="176"/>
      <c r="B6" s="192" t="s">
        <v>39</v>
      </c>
      <c r="C6" s="196"/>
      <c r="D6" s="196">
        <f>'P&amp;L'!C32</f>
        <v>13.393528128498819</v>
      </c>
      <c r="E6" s="196">
        <f>'P&amp;L'!D32</f>
        <v>8.112424670225842</v>
      </c>
      <c r="F6" s="196">
        <f>'P&amp;L'!E32</f>
        <v>10.548636812799339</v>
      </c>
      <c r="G6" s="196">
        <f>'P&amp;L'!F32</f>
        <v>12.911937974123209</v>
      </c>
      <c r="H6" s="196">
        <f>'P&amp;L'!G32</f>
        <v>14.461404878277456</v>
      </c>
      <c r="I6" s="196">
        <f>'P&amp;L'!H32</f>
        <v>15.111250846098121</v>
      </c>
      <c r="J6" s="196">
        <f>'P&amp;L'!I32</f>
        <v>15.664646666778964</v>
      </c>
      <c r="K6" s="196">
        <f>'P&amp;L'!J32</f>
        <v>14.6337495563372</v>
      </c>
      <c r="L6" s="196">
        <f>'P&amp;L'!K32</f>
        <v>15.675695055881082</v>
      </c>
      <c r="M6" s="260">
        <f>'P&amp;L'!L32</f>
        <v>16.78824612399068</v>
      </c>
    </row>
    <row r="7" spans="1:13" ht="12.75">
      <c r="A7" s="176"/>
      <c r="B7" s="192" t="s">
        <v>85</v>
      </c>
      <c r="C7" s="196"/>
      <c r="D7" s="196">
        <f>'P&amp;L'!C22</f>
        <v>4.6332</v>
      </c>
      <c r="E7" s="196">
        <f>'P&amp;L'!D22</f>
        <v>6.1776</v>
      </c>
      <c r="F7" s="196">
        <f>'P&amp;L'!E22</f>
        <v>6.1776</v>
      </c>
      <c r="G7" s="196">
        <f>'P&amp;L'!F22</f>
        <v>6.1776</v>
      </c>
      <c r="H7" s="196">
        <f>'P&amp;L'!G22</f>
        <v>6.1776</v>
      </c>
      <c r="I7" s="196">
        <f>'P&amp;L'!H22</f>
        <v>6.1776</v>
      </c>
      <c r="J7" s="196">
        <f>'P&amp;L'!I22</f>
        <v>6.1776</v>
      </c>
      <c r="K7" s="196">
        <f>'P&amp;L'!J22</f>
        <v>6.1776</v>
      </c>
      <c r="L7" s="196">
        <f>'P&amp;L'!K22</f>
        <v>6.1776</v>
      </c>
      <c r="M7" s="260">
        <f>'P&amp;L'!L22</f>
        <v>6.1776</v>
      </c>
    </row>
    <row r="8" spans="1:13" ht="12.75">
      <c r="A8" s="176"/>
      <c r="B8" s="192"/>
      <c r="C8" s="196"/>
      <c r="D8" s="196"/>
      <c r="E8" s="196"/>
      <c r="F8" s="196"/>
      <c r="G8" s="196"/>
      <c r="H8" s="196"/>
      <c r="I8" s="275"/>
      <c r="J8" s="275"/>
      <c r="K8" s="275"/>
      <c r="L8" s="275"/>
      <c r="M8" s="276"/>
    </row>
    <row r="9" spans="1:13" ht="12.75">
      <c r="A9" s="176"/>
      <c r="B9" s="192" t="s">
        <v>86</v>
      </c>
      <c r="C9" s="196">
        <f>'Capital Cost '!C21</f>
        <v>54.14000000000001</v>
      </c>
      <c r="D9" s="196">
        <f>'Capital Cost '!C21</f>
        <v>54.14000000000001</v>
      </c>
      <c r="E9" s="196"/>
      <c r="F9" s="196"/>
      <c r="G9" s="196"/>
      <c r="H9" s="196"/>
      <c r="I9" s="275"/>
      <c r="J9" s="275"/>
      <c r="K9" s="275"/>
      <c r="L9" s="275"/>
      <c r="M9" s="276"/>
    </row>
    <row r="10" spans="1:13" ht="12.75">
      <c r="A10" s="176"/>
      <c r="B10" s="192" t="s">
        <v>87</v>
      </c>
      <c r="C10" s="196">
        <f>'Capital Cost '!C22</f>
        <v>75.2563168334961</v>
      </c>
      <c r="D10" s="196">
        <f>'Capital Cost '!B31</f>
        <v>73.71000000000001</v>
      </c>
      <c r="E10" s="196"/>
      <c r="F10" s="196"/>
      <c r="G10" s="196"/>
      <c r="H10" s="196"/>
      <c r="I10" s="275"/>
      <c r="J10" s="275"/>
      <c r="K10" s="275"/>
      <c r="L10" s="275"/>
      <c r="M10" s="276"/>
    </row>
    <row r="11" spans="1:13" ht="12.75">
      <c r="A11" s="176"/>
      <c r="B11" s="192"/>
      <c r="C11" s="196"/>
      <c r="D11" s="196"/>
      <c r="E11" s="196"/>
      <c r="F11" s="196"/>
      <c r="G11" s="196"/>
      <c r="H11" s="196"/>
      <c r="I11" s="275"/>
      <c r="J11" s="275"/>
      <c r="K11" s="275"/>
      <c r="L11" s="275"/>
      <c r="M11" s="276"/>
    </row>
    <row r="12" spans="1:13" ht="12.75">
      <c r="A12" s="176"/>
      <c r="B12" s="194" t="s">
        <v>88</v>
      </c>
      <c r="C12" s="197">
        <f aca="true" t="shared" si="0" ref="C12:M12">SUM(C6:C11)</f>
        <v>129.39631683349612</v>
      </c>
      <c r="D12" s="197">
        <f t="shared" si="0"/>
        <v>145.87672812849883</v>
      </c>
      <c r="E12" s="197">
        <f t="shared" si="0"/>
        <v>14.290024670225842</v>
      </c>
      <c r="F12" s="197">
        <f t="shared" si="0"/>
        <v>16.72623681279934</v>
      </c>
      <c r="G12" s="197">
        <f t="shared" si="0"/>
        <v>19.08953797412321</v>
      </c>
      <c r="H12" s="197">
        <f t="shared" si="0"/>
        <v>20.639004878277454</v>
      </c>
      <c r="I12" s="197">
        <f t="shared" si="0"/>
        <v>21.28885084609812</v>
      </c>
      <c r="J12" s="197">
        <f t="shared" si="0"/>
        <v>21.842246666778962</v>
      </c>
      <c r="K12" s="197">
        <f t="shared" si="0"/>
        <v>20.8113495563372</v>
      </c>
      <c r="L12" s="197">
        <f t="shared" si="0"/>
        <v>21.853295055881084</v>
      </c>
      <c r="M12" s="261">
        <f t="shared" si="0"/>
        <v>22.96584612399068</v>
      </c>
    </row>
    <row r="13" spans="1:13" ht="12.75">
      <c r="A13" s="176"/>
      <c r="B13" s="192"/>
      <c r="C13" s="196"/>
      <c r="D13" s="196"/>
      <c r="E13" s="196"/>
      <c r="F13" s="196"/>
      <c r="G13" s="196"/>
      <c r="H13" s="196"/>
      <c r="I13" s="275"/>
      <c r="J13" s="275"/>
      <c r="K13" s="275"/>
      <c r="L13" s="275"/>
      <c r="M13" s="276"/>
    </row>
    <row r="14" spans="1:13" ht="12.75">
      <c r="A14" s="193" t="s">
        <v>19</v>
      </c>
      <c r="B14" s="194" t="s">
        <v>89</v>
      </c>
      <c r="C14" s="196"/>
      <c r="D14" s="196"/>
      <c r="E14" s="196"/>
      <c r="F14" s="196"/>
      <c r="G14" s="196"/>
      <c r="H14" s="196"/>
      <c r="I14" s="275"/>
      <c r="J14" s="275"/>
      <c r="K14" s="275"/>
      <c r="L14" s="275"/>
      <c r="M14" s="276"/>
    </row>
    <row r="15" spans="1:13" ht="12.75">
      <c r="A15" s="176"/>
      <c r="B15" s="192" t="s">
        <v>90</v>
      </c>
      <c r="C15" s="196">
        <f>'Capital Cost '!C24</f>
        <v>129.39631683349612</v>
      </c>
      <c r="D15" s="196">
        <f>'Capital Cost '!B31+'Capital Cost '!C21</f>
        <v>127.85000000000002</v>
      </c>
      <c r="E15" s="196"/>
      <c r="F15" s="196"/>
      <c r="G15" s="196"/>
      <c r="H15" s="196"/>
      <c r="I15" s="275"/>
      <c r="J15" s="275"/>
      <c r="K15" s="275"/>
      <c r="L15" s="275"/>
      <c r="M15" s="276"/>
    </row>
    <row r="16" spans="1:13" ht="12.75">
      <c r="A16" s="176"/>
      <c r="B16" s="192" t="s">
        <v>217</v>
      </c>
      <c r="C16" s="196"/>
      <c r="D16" s="196">
        <f>'Balance Sheet'!C24</f>
        <v>0</v>
      </c>
      <c r="E16" s="196">
        <f>'Balance Sheet'!D24-'Balance Sheet'!C24</f>
        <v>0</v>
      </c>
      <c r="F16" s="196">
        <f>'Balance Sheet'!E24-'Balance Sheet'!D24</f>
        <v>0</v>
      </c>
      <c r="G16" s="196">
        <f>'Balance Sheet'!F24-'Balance Sheet'!E24</f>
        <v>0</v>
      </c>
      <c r="H16" s="196">
        <f>'Balance Sheet'!G24-'Balance Sheet'!F24</f>
        <v>0</v>
      </c>
      <c r="I16" s="196">
        <f>'Balance Sheet'!H24-'Balance Sheet'!G24</f>
        <v>0</v>
      </c>
      <c r="J16" s="196">
        <f>'Balance Sheet'!I24-'Balance Sheet'!H24</f>
        <v>0</v>
      </c>
      <c r="K16" s="196">
        <f>'Balance Sheet'!J24-'Balance Sheet'!I24</f>
        <v>0</v>
      </c>
      <c r="L16" s="196">
        <f>'Balance Sheet'!K24-'Balance Sheet'!J24</f>
        <v>0</v>
      </c>
      <c r="M16" s="196">
        <f>'Balance Sheet'!L24-'Balance Sheet'!K24</f>
        <v>0</v>
      </c>
    </row>
    <row r="17" spans="1:13" ht="12.75">
      <c r="A17" s="176"/>
      <c r="B17" s="192" t="s">
        <v>60</v>
      </c>
      <c r="C17" s="196"/>
      <c r="D17" s="196">
        <f>DSCR!C12</f>
        <v>11.882576342130964</v>
      </c>
      <c r="E17" s="196">
        <f>DSCR!D12</f>
        <v>15.843435122841285</v>
      </c>
      <c r="F17" s="196">
        <f>DSCR!E12</f>
        <v>15.843435122841285</v>
      </c>
      <c r="G17" s="196">
        <f>DSCR!F12</f>
        <v>15.843435122841285</v>
      </c>
      <c r="H17" s="196">
        <f>DSCR!G12</f>
        <v>15.843435122841285</v>
      </c>
      <c r="I17" s="196">
        <f>DSCR!H12</f>
        <v>0</v>
      </c>
      <c r="J17" s="196">
        <f>DSCR!I12</f>
        <v>0</v>
      </c>
      <c r="K17" s="196">
        <f>DSCR!J12</f>
        <v>0</v>
      </c>
      <c r="L17" s="196">
        <f>DSCR!M12</f>
        <v>0</v>
      </c>
      <c r="M17" s="260">
        <f>DSCR!N12</f>
        <v>0</v>
      </c>
    </row>
    <row r="18" spans="1:13" ht="12.75">
      <c r="A18" s="176"/>
      <c r="B18" s="192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</row>
    <row r="19" spans="1:13" ht="12.75">
      <c r="A19" s="176"/>
      <c r="B19" s="194" t="s">
        <v>91</v>
      </c>
      <c r="C19" s="277">
        <f>SUM(C15:C18)</f>
        <v>129.39631683349612</v>
      </c>
      <c r="D19" s="277">
        <f>SUM(D15:D18)</f>
        <v>139.73257634213098</v>
      </c>
      <c r="E19" s="277">
        <f aca="true" t="shared" si="1" ref="E19:J19">SUM(E15:E18)</f>
        <v>15.843435122841285</v>
      </c>
      <c r="F19" s="277">
        <f t="shared" si="1"/>
        <v>15.843435122841285</v>
      </c>
      <c r="G19" s="277">
        <f t="shared" si="1"/>
        <v>15.843435122841285</v>
      </c>
      <c r="H19" s="277">
        <f t="shared" si="1"/>
        <v>15.843435122841285</v>
      </c>
      <c r="I19" s="277">
        <f t="shared" si="1"/>
        <v>0</v>
      </c>
      <c r="J19" s="277">
        <f t="shared" si="1"/>
        <v>0</v>
      </c>
      <c r="K19" s="277">
        <f>SUM(K15:K18)</f>
        <v>0</v>
      </c>
      <c r="L19" s="277">
        <f>SUM(L15:L18)</f>
        <v>0</v>
      </c>
      <c r="M19" s="278">
        <f>SUM(M15:M18)</f>
        <v>0</v>
      </c>
    </row>
    <row r="20" spans="1:13" ht="12.75">
      <c r="A20" s="176"/>
      <c r="B20" s="192"/>
      <c r="C20" s="196"/>
      <c r="D20" s="196"/>
      <c r="E20" s="196"/>
      <c r="F20" s="196"/>
      <c r="G20" s="196"/>
      <c r="H20" s="196"/>
      <c r="I20" s="275"/>
      <c r="J20" s="275"/>
      <c r="K20" s="275"/>
      <c r="L20" s="275"/>
      <c r="M20" s="276"/>
    </row>
    <row r="21" spans="1:13" ht="12.75">
      <c r="A21" s="193" t="s">
        <v>30</v>
      </c>
      <c r="B21" s="194" t="s">
        <v>92</v>
      </c>
      <c r="C21" s="222">
        <f aca="true" t="shared" si="2" ref="C21:M21">C12-C19</f>
        <v>0</v>
      </c>
      <c r="D21" s="222">
        <f t="shared" si="2"/>
        <v>6.144151786367843</v>
      </c>
      <c r="E21" s="222">
        <f t="shared" si="2"/>
        <v>-1.5534104526154433</v>
      </c>
      <c r="F21" s="222">
        <f t="shared" si="2"/>
        <v>0.882801689958054</v>
      </c>
      <c r="G21" s="222">
        <f t="shared" si="2"/>
        <v>3.2461028512819254</v>
      </c>
      <c r="H21" s="222">
        <f t="shared" si="2"/>
        <v>4.795569755436169</v>
      </c>
      <c r="I21" s="222">
        <f t="shared" si="2"/>
        <v>21.28885084609812</v>
      </c>
      <c r="J21" s="222">
        <f t="shared" si="2"/>
        <v>21.842246666778962</v>
      </c>
      <c r="K21" s="222">
        <f t="shared" si="2"/>
        <v>20.8113495563372</v>
      </c>
      <c r="L21" s="222">
        <f t="shared" si="2"/>
        <v>21.853295055881084</v>
      </c>
      <c r="M21" s="223">
        <f t="shared" si="2"/>
        <v>22.96584612399068</v>
      </c>
    </row>
    <row r="22" spans="1:13" ht="12.75">
      <c r="A22" s="176"/>
      <c r="B22" s="192"/>
      <c r="C22" s="222"/>
      <c r="D22" s="222"/>
      <c r="E22" s="222"/>
      <c r="F22" s="222"/>
      <c r="G22" s="222"/>
      <c r="H22" s="222"/>
      <c r="I22" s="275"/>
      <c r="J22" s="275"/>
      <c r="K22" s="275"/>
      <c r="L22" s="275"/>
      <c r="M22" s="276"/>
    </row>
    <row r="23" spans="1:13" ht="12.75">
      <c r="A23" s="193" t="s">
        <v>33</v>
      </c>
      <c r="B23" s="194" t="s">
        <v>93</v>
      </c>
      <c r="C23" s="222">
        <v>0</v>
      </c>
      <c r="D23" s="222">
        <f>C25</f>
        <v>0</v>
      </c>
      <c r="E23" s="222">
        <f aca="true" t="shared" si="3" ref="E23:J23">D25</f>
        <v>6.144151786367843</v>
      </c>
      <c r="F23" s="222">
        <f t="shared" si="3"/>
        <v>4.5907413337523995</v>
      </c>
      <c r="G23" s="222">
        <f t="shared" si="3"/>
        <v>5.473543023710453</v>
      </c>
      <c r="H23" s="222">
        <f t="shared" si="3"/>
        <v>8.719645874992379</v>
      </c>
      <c r="I23" s="222">
        <f t="shared" si="3"/>
        <v>13.515215630428548</v>
      </c>
      <c r="J23" s="222">
        <f t="shared" si="3"/>
        <v>34.80406647652667</v>
      </c>
      <c r="K23" s="222">
        <f>J25</f>
        <v>56.64631314330563</v>
      </c>
      <c r="L23" s="222">
        <f>K25</f>
        <v>77.45766269964284</v>
      </c>
      <c r="M23" s="223">
        <f>L25</f>
        <v>99.31095775552393</v>
      </c>
    </row>
    <row r="24" spans="1:13" ht="12.75">
      <c r="A24" s="176"/>
      <c r="B24" s="192"/>
      <c r="C24" s="222"/>
      <c r="D24" s="222"/>
      <c r="E24" s="222"/>
      <c r="F24" s="222"/>
      <c r="G24" s="222"/>
      <c r="H24" s="222"/>
      <c r="I24" s="275"/>
      <c r="J24" s="275"/>
      <c r="K24" s="275"/>
      <c r="L24" s="275"/>
      <c r="M24" s="276"/>
    </row>
    <row r="25" spans="1:13" ht="12.75">
      <c r="A25" s="193" t="s">
        <v>36</v>
      </c>
      <c r="B25" s="194" t="s">
        <v>94</v>
      </c>
      <c r="C25" s="222">
        <f>C21+C23</f>
        <v>0</v>
      </c>
      <c r="D25" s="222">
        <f>D21+D23</f>
        <v>6.144151786367843</v>
      </c>
      <c r="E25" s="222">
        <f aca="true" t="shared" si="4" ref="E25:J25">E21+E23</f>
        <v>4.5907413337523995</v>
      </c>
      <c r="F25" s="222">
        <f t="shared" si="4"/>
        <v>5.473543023710453</v>
      </c>
      <c r="G25" s="222">
        <f t="shared" si="4"/>
        <v>8.719645874992379</v>
      </c>
      <c r="H25" s="222">
        <f t="shared" si="4"/>
        <v>13.515215630428548</v>
      </c>
      <c r="I25" s="222">
        <f t="shared" si="4"/>
        <v>34.80406647652667</v>
      </c>
      <c r="J25" s="222">
        <f t="shared" si="4"/>
        <v>56.64631314330563</v>
      </c>
      <c r="K25" s="222">
        <f>K21+K23</f>
        <v>77.45766269964284</v>
      </c>
      <c r="L25" s="222">
        <f>L21+L23</f>
        <v>99.31095775552393</v>
      </c>
      <c r="M25" s="223">
        <f>M21+M23</f>
        <v>122.2768038795146</v>
      </c>
    </row>
    <row r="26" spans="1:13" ht="13.5" thickBot="1">
      <c r="A26" s="178"/>
      <c r="B26" s="279"/>
      <c r="C26" s="280"/>
      <c r="D26" s="280"/>
      <c r="E26" s="280"/>
      <c r="F26" s="280"/>
      <c r="G26" s="280"/>
      <c r="H26" s="280"/>
      <c r="I26" s="281"/>
      <c r="J26" s="281"/>
      <c r="K26" s="281"/>
      <c r="L26" s="281"/>
      <c r="M26" s="282"/>
    </row>
    <row r="27" ht="3" customHeight="1"/>
    <row r="28" ht="12.75" hidden="1"/>
  </sheetData>
  <sheetProtection password="DAD4" sheet="1"/>
  <printOptions/>
  <pageMargins left="0.7" right="0.7" top="0.75" bottom="0.75" header="0.3" footer="0.3"/>
  <pageSetup horizontalDpi="600" verticalDpi="600" orientation="landscape" paperSize="9" r:id="rId1"/>
  <headerFooter>
    <oddHeader xml:space="preserve">&amp;CPartial Risk Gurantee for Energy Efficiency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WEALTH</dc:creator>
  <cp:keywords/>
  <dc:description/>
  <cp:lastModifiedBy>Darashw</cp:lastModifiedBy>
  <cp:lastPrinted>2014-05-23T11:56:19Z</cp:lastPrinted>
  <dcterms:created xsi:type="dcterms:W3CDTF">2005-05-31T04:50:47Z</dcterms:created>
  <dcterms:modified xsi:type="dcterms:W3CDTF">2017-01-23T05:45:53Z</dcterms:modified>
  <cp:category/>
  <cp:version/>
  <cp:contentType/>
  <cp:contentStatus/>
</cp:coreProperties>
</file>